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5. Market Dev Manager\2. Gas\UNC823 Allocation of Entry Capacity and Flow to CNCCD Routes\Workgroup\"/>
    </mc:Choice>
  </mc:AlternateContent>
  <xr:revisionPtr revIDLastSave="0" documentId="13_ncr:1_{119E9415-978F-434C-A3E1-FB86E65851D5}" xr6:coauthVersionLast="47" xr6:coauthVersionMax="47" xr10:uidLastSave="{00000000-0000-0000-0000-000000000000}"/>
  <bookViews>
    <workbookView xWindow="-57720" yWindow="-105" windowWidth="29040" windowHeight="15840" xr2:uid="{3C47B36A-0DF3-4518-B134-B6DE17A5B3E0}"/>
  </bookViews>
  <sheets>
    <sheet name="UNC823 Example" sheetId="3" r:id="rId1"/>
    <sheet name="Example 5" sheetId="2" r:id="rId2"/>
    <sheet name="Example 4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8" i="3"/>
  <c r="G18" i="2"/>
  <c r="H25" i="1"/>
  <c r="G25" i="1"/>
  <c r="F25" i="1"/>
  <c r="E25" i="1"/>
  <c r="E18" i="3"/>
  <c r="G27" i="3" s="1"/>
  <c r="B24" i="3"/>
  <c r="G19" i="3"/>
  <c r="F19" i="3"/>
  <c r="E19" i="3"/>
  <c r="F18" i="3"/>
  <c r="H27" i="3" s="1"/>
  <c r="D18" i="3"/>
  <c r="G17" i="3"/>
  <c r="F17" i="3"/>
  <c r="E17" i="3"/>
  <c r="D17" i="3"/>
  <c r="G16" i="3"/>
  <c r="F16" i="3"/>
  <c r="E16" i="3"/>
  <c r="D16" i="3"/>
  <c r="H27" i="1"/>
  <c r="G27" i="1"/>
  <c r="F27" i="1"/>
  <c r="F29" i="1" s="1"/>
  <c r="E27" i="1"/>
  <c r="H24" i="1"/>
  <c r="G24" i="1"/>
  <c r="F24" i="1"/>
  <c r="E24" i="1"/>
  <c r="B24" i="1"/>
  <c r="H23" i="1"/>
  <c r="H29" i="1" s="1"/>
  <c r="G23" i="1"/>
  <c r="G29" i="1" s="1"/>
  <c r="F23" i="1"/>
  <c r="E23" i="1"/>
  <c r="E29" i="1" s="1"/>
  <c r="B24" i="2"/>
  <c r="G19" i="2"/>
  <c r="F19" i="2"/>
  <c r="E19" i="2"/>
  <c r="F18" i="2"/>
  <c r="H27" i="2" s="1"/>
  <c r="E18" i="2"/>
  <c r="E27" i="2" s="1"/>
  <c r="D18" i="2"/>
  <c r="G17" i="2"/>
  <c r="F17" i="2"/>
  <c r="E17" i="2"/>
  <c r="D17" i="2"/>
  <c r="G16" i="2"/>
  <c r="F16" i="2"/>
  <c r="H16" i="2" s="1"/>
  <c r="E16" i="2"/>
  <c r="D16" i="2"/>
  <c r="D18" i="1"/>
  <c r="F18" i="1"/>
  <c r="E18" i="1"/>
  <c r="D17" i="1"/>
  <c r="D16" i="1"/>
  <c r="G17" i="1"/>
  <c r="F17" i="1"/>
  <c r="E17" i="1"/>
  <c r="E19" i="1"/>
  <c r="F19" i="1"/>
  <c r="G16" i="1"/>
  <c r="F16" i="1"/>
  <c r="E16" i="1"/>
  <c r="G19" i="1"/>
  <c r="H19" i="3" l="1"/>
  <c r="J19" i="3" s="1"/>
  <c r="F27" i="3"/>
  <c r="I19" i="3"/>
  <c r="K19" i="3" s="1"/>
  <c r="M16" i="3"/>
  <c r="M17" i="3" s="1"/>
  <c r="M18" i="3" s="1"/>
  <c r="M19" i="3" s="1"/>
  <c r="O19" i="3" s="1"/>
  <c r="I16" i="3"/>
  <c r="I17" i="3" s="1"/>
  <c r="K17" i="3" s="1"/>
  <c r="F24" i="3" s="1"/>
  <c r="H16" i="3"/>
  <c r="H17" i="3" s="1"/>
  <c r="L16" i="3"/>
  <c r="L17" i="3" s="1"/>
  <c r="E27" i="3"/>
  <c r="I19" i="2"/>
  <c r="K19" i="2" s="1"/>
  <c r="L16" i="2"/>
  <c r="L17" i="2" s="1"/>
  <c r="H19" i="2"/>
  <c r="J19" i="2" s="1"/>
  <c r="G27" i="2"/>
  <c r="I16" i="2"/>
  <c r="K16" i="2" s="1"/>
  <c r="J16" i="2"/>
  <c r="H17" i="2"/>
  <c r="M16" i="2"/>
  <c r="M17" i="2" s="1"/>
  <c r="M18" i="2" s="1"/>
  <c r="M19" i="2" s="1"/>
  <c r="O19" i="2" s="1"/>
  <c r="F27" i="2"/>
  <c r="L16" i="1"/>
  <c r="L17" i="1" s="1"/>
  <c r="L18" i="1" s="1"/>
  <c r="L19" i="1" s="1"/>
  <c r="N19" i="1" s="1"/>
  <c r="M16" i="1"/>
  <c r="M17" i="1" s="1"/>
  <c r="M18" i="1" s="1"/>
  <c r="H16" i="1"/>
  <c r="H17" i="1" s="1"/>
  <c r="H18" i="1" s="1"/>
  <c r="J18" i="1" s="1"/>
  <c r="E26" i="1" s="1"/>
  <c r="E28" i="1" s="1"/>
  <c r="H19" i="1"/>
  <c r="J19" i="1" s="1"/>
  <c r="I19" i="1"/>
  <c r="K19" i="1" s="1"/>
  <c r="I16" i="1"/>
  <c r="I17" i="1" s="1"/>
  <c r="I18" i="1" s="1"/>
  <c r="K18" i="1" s="1"/>
  <c r="F26" i="1" s="1"/>
  <c r="F28" i="1" s="1"/>
  <c r="O18" i="3" l="1"/>
  <c r="H26" i="3" s="1"/>
  <c r="O16" i="3"/>
  <c r="H23" i="3" s="1"/>
  <c r="O17" i="3"/>
  <c r="H24" i="3" s="1"/>
  <c r="K16" i="3"/>
  <c r="F23" i="3" s="1"/>
  <c r="F25" i="3" s="1"/>
  <c r="J16" i="3"/>
  <c r="E23" i="3" s="1"/>
  <c r="I18" i="3"/>
  <c r="K18" i="3" s="1"/>
  <c r="F26" i="3" s="1"/>
  <c r="L18" i="3"/>
  <c r="N17" i="3"/>
  <c r="G24" i="3" s="1"/>
  <c r="J17" i="3"/>
  <c r="E24" i="3" s="1"/>
  <c r="H18" i="3"/>
  <c r="J18" i="3" s="1"/>
  <c r="E26" i="3" s="1"/>
  <c r="N16" i="3"/>
  <c r="N16" i="2"/>
  <c r="F23" i="2"/>
  <c r="O17" i="2"/>
  <c r="H24" i="2" s="1"/>
  <c r="I17" i="2"/>
  <c r="N17" i="2"/>
  <c r="G24" i="2" s="1"/>
  <c r="L18" i="2"/>
  <c r="O18" i="2"/>
  <c r="H26" i="2" s="1"/>
  <c r="H18" i="2"/>
  <c r="J18" i="2" s="1"/>
  <c r="E26" i="2" s="1"/>
  <c r="J17" i="2"/>
  <c r="E24" i="2" s="1"/>
  <c r="E23" i="2"/>
  <c r="E25" i="2" s="1"/>
  <c r="O16" i="2"/>
  <c r="N16" i="1"/>
  <c r="K16" i="1"/>
  <c r="N17" i="1"/>
  <c r="N18" i="1"/>
  <c r="G26" i="1" s="1"/>
  <c r="G28" i="1" s="1"/>
  <c r="M19" i="1"/>
  <c r="O19" i="1" s="1"/>
  <c r="O18" i="1"/>
  <c r="H26" i="1" s="1"/>
  <c r="H28" i="1" s="1"/>
  <c r="O17" i="1"/>
  <c r="K17" i="1"/>
  <c r="J16" i="1"/>
  <c r="O16" i="1"/>
  <c r="J17" i="1"/>
  <c r="F29" i="2" l="1"/>
  <c r="F25" i="2"/>
  <c r="E25" i="3"/>
  <c r="E28" i="3" s="1"/>
  <c r="H29" i="3"/>
  <c r="H25" i="3"/>
  <c r="H28" i="3" s="1"/>
  <c r="E29" i="3"/>
  <c r="F29" i="3"/>
  <c r="F28" i="3"/>
  <c r="L19" i="3"/>
  <c r="N19" i="3" s="1"/>
  <c r="G23" i="3" s="1"/>
  <c r="G25" i="3" s="1"/>
  <c r="N18" i="3"/>
  <c r="G26" i="3" s="1"/>
  <c r="E28" i="2"/>
  <c r="E29" i="2"/>
  <c r="I18" i="2"/>
  <c r="K18" i="2" s="1"/>
  <c r="F26" i="2" s="1"/>
  <c r="K17" i="2"/>
  <c r="F24" i="2" s="1"/>
  <c r="N18" i="2"/>
  <c r="G26" i="2" s="1"/>
  <c r="L19" i="2"/>
  <c r="N19" i="2" s="1"/>
  <c r="H23" i="2"/>
  <c r="H25" i="2" s="1"/>
  <c r="G29" i="3" l="1"/>
  <c r="G28" i="3"/>
  <c r="H28" i="2"/>
  <c r="H29" i="2"/>
  <c r="F28" i="2"/>
  <c r="G23" i="2"/>
  <c r="G25" i="2" s="1"/>
  <c r="G28" i="2" l="1"/>
  <c r="G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tc={C31D70D8-D336-4465-86CB-E4A8885A13F0}</author>
  </authors>
  <commentList>
    <comment ref="J16" authorId="0" shapeId="0" xr:uid="{C31D70D8-D336-4465-86CB-E4A8885A13F0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apportioned based on total firm exit capacity holdings CAP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tc={50967B13-2A0F-4764-B97D-C0B215F5E593}</author>
  </authors>
  <commentList>
    <comment ref="J16" authorId="0" shapeId="0" xr:uid="{50967B13-2A0F-4764-B97D-C0B215F5E593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apportioned based on total firm exit capacity holdings CAP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tc={BCEF21FB-DCB5-4CFF-A545-01CC962E62B7}</author>
  </authors>
  <commentList>
    <comment ref="J16" authorId="0" shapeId="0" xr:uid="{BCEF21FB-DCB5-4CFF-A545-01CC962E62B7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apportioned based on total firm exit capacity holdings CAP</t>
      </text>
    </comment>
  </commentList>
</comments>
</file>

<file path=xl/sharedStrings.xml><?xml version="1.0" encoding="utf-8"?>
<sst xmlns="http://schemas.openxmlformats.org/spreadsheetml/2006/main" count="231" uniqueCount="57">
  <si>
    <t>Capacity Holding</t>
  </si>
  <si>
    <t>Flow</t>
  </si>
  <si>
    <t>kwh</t>
  </si>
  <si>
    <t>Exit Point 1</t>
  </si>
  <si>
    <t>Exit Point 2</t>
  </si>
  <si>
    <t>Term</t>
  </si>
  <si>
    <t>Entry E</t>
  </si>
  <si>
    <t>CAP</t>
  </si>
  <si>
    <t>AQ</t>
  </si>
  <si>
    <t>A</t>
  </si>
  <si>
    <t>Firm (Auction)</t>
  </si>
  <si>
    <t>Firm (Traded)</t>
  </si>
  <si>
    <t>Interruptible</t>
  </si>
  <si>
    <t>Firm (Existing)</t>
  </si>
  <si>
    <t>Ex1</t>
  </si>
  <si>
    <t>Ex2</t>
  </si>
  <si>
    <t>En1</t>
  </si>
  <si>
    <t>En2</t>
  </si>
  <si>
    <t>EC</t>
  </si>
  <si>
    <t>Route 1 (En1, Ex1)</t>
  </si>
  <si>
    <t>Equation</t>
  </si>
  <si>
    <t>Formula Term</t>
  </si>
  <si>
    <t>Description</t>
  </si>
  <si>
    <t>En</t>
  </si>
  <si>
    <t>Initial Eligible Quantity at Entry (excludes Firm Existing)</t>
  </si>
  <si>
    <r>
      <t>IEQ</t>
    </r>
    <r>
      <rPr>
        <vertAlign val="subscript"/>
        <sz val="11"/>
        <color theme="1"/>
        <rFont val="Calibri"/>
        <family val="2"/>
        <scheme val="minor"/>
      </rPr>
      <t>En</t>
    </r>
  </si>
  <si>
    <r>
      <t>EQ</t>
    </r>
    <r>
      <rPr>
        <vertAlign val="subscript"/>
        <sz val="11"/>
        <color theme="1"/>
        <rFont val="Calibri"/>
        <family val="2"/>
        <scheme val="minor"/>
      </rPr>
      <t>En</t>
    </r>
  </si>
  <si>
    <r>
      <t>MIN(IEQ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,AQ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)</t>
    </r>
  </si>
  <si>
    <r>
      <t>IEQ</t>
    </r>
    <r>
      <rPr>
        <vertAlign val="subscript"/>
        <sz val="11"/>
        <color theme="1"/>
        <rFont val="Calibri"/>
        <family val="2"/>
        <scheme val="minor"/>
      </rPr>
      <t>Ex</t>
    </r>
  </si>
  <si>
    <t>Total Firm</t>
  </si>
  <si>
    <t>Eligible Quantity at Entry (Reduced to primary only)</t>
  </si>
  <si>
    <t>Eligible Quantity at Exit (Reduced to primary only)</t>
  </si>
  <si>
    <r>
      <t>EQ</t>
    </r>
    <r>
      <rPr>
        <vertAlign val="subscript"/>
        <sz val="11"/>
        <color theme="1"/>
        <rFont val="Calibri"/>
        <family val="2"/>
        <scheme val="minor"/>
      </rPr>
      <t>Ex</t>
    </r>
  </si>
  <si>
    <r>
      <t>MIN(IEQ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,AQ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)</t>
    </r>
  </si>
  <si>
    <r>
      <t>Max (0, Min(CAP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,CAP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, A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, A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) - EC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 xml:space="preserve"> )</t>
    </r>
  </si>
  <si>
    <r>
      <t>Min(CAP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,CAP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, A</t>
    </r>
    <r>
      <rPr>
        <vertAlign val="subscript"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>, A</t>
    </r>
    <r>
      <rPr>
        <vertAlign val="subscript"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>)</t>
    </r>
  </si>
  <si>
    <t>Proposed Arrangements</t>
  </si>
  <si>
    <t>Current Arrangements</t>
  </si>
  <si>
    <t>Proportions for pro-rata</t>
  </si>
  <si>
    <t>-</t>
  </si>
  <si>
    <t>Route 2 (En2, Ex2)</t>
  </si>
  <si>
    <t>1. Consider the min of total firm capacity holding (including secondary holdings) and flow quantities to establish matched entry/exit holdings/flow</t>
  </si>
  <si>
    <t>Steps to determine eligibility:</t>
  </si>
  <si>
    <t>Apportionment Quantity (Firm (Auction) only)</t>
  </si>
  <si>
    <t>Apportionment Quantity at Entry</t>
  </si>
  <si>
    <t>Apportionment Quantity at Exit</t>
  </si>
  <si>
    <r>
      <t>AQ</t>
    </r>
    <r>
      <rPr>
        <vertAlign val="subscript"/>
        <sz val="11"/>
        <color theme="1"/>
        <rFont val="Calibri"/>
        <family val="2"/>
        <scheme val="minor"/>
      </rPr>
      <t>En</t>
    </r>
  </si>
  <si>
    <r>
      <t>AQ</t>
    </r>
    <r>
      <rPr>
        <vertAlign val="subscript"/>
        <sz val="11"/>
        <color theme="1"/>
        <rFont val="Calibri"/>
        <family val="2"/>
        <scheme val="minor"/>
      </rPr>
      <t>Ex</t>
    </r>
  </si>
  <si>
    <t>Definition / Step</t>
  </si>
  <si>
    <t>2. Consider existing capacity holding</t>
  </si>
  <si>
    <t xml:space="preserve">4. Compare "remaining" eligibility from 2 and compare with total firm primary excluding both existing and secondary capacity </t>
  </si>
  <si>
    <r>
      <t>EC</t>
    </r>
    <r>
      <rPr>
        <vertAlign val="subscript"/>
        <sz val="11"/>
        <color theme="1"/>
        <rFont val="Calibri"/>
        <family val="2"/>
        <scheme val="minor"/>
      </rPr>
      <t>En</t>
    </r>
  </si>
  <si>
    <t>3. subtract 2. from 1. to determine initial eligilbility for entry capacity, regardless of what the limiting factor was - this is to reflect that existing capacity holding would be used "first"</t>
  </si>
  <si>
    <t>1. Min of total firm cap and flows at Entry (&amp; initial quant. eligible at exit)</t>
  </si>
  <si>
    <t>Route 1 
(En1, Ex1)</t>
  </si>
  <si>
    <t>Route 2 
(En2, Ex2)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</si>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</sst>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6" fillId="5" borderId="0" xfId="5"/>
    <xf numFmtId="0" fontId="1" fillId="6" borderId="2" xfId="6" applyBorder="1" applyAlignment="1">
      <alignment horizontal="left"/>
    </xf>
    <xf numFmtId="164" fontId="0" fillId="8" borderId="2" xfId="1" applyNumberFormat="1" applyFont="1" applyFill="1" applyBorder="1"/>
    <xf numFmtId="0" fontId="0" fillId="9" borderId="2" xfId="0" applyFill="1" applyBorder="1"/>
    <xf numFmtId="0" fontId="6" fillId="5" borderId="2" xfId="5" applyBorder="1"/>
    <xf numFmtId="0" fontId="0" fillId="0" borderId="2" xfId="0" applyBorder="1"/>
    <xf numFmtId="164" fontId="0" fillId="0" borderId="2" xfId="0" applyNumberFormat="1" applyBorder="1"/>
    <xf numFmtId="43" fontId="0" fillId="0" borderId="2" xfId="0" applyNumberFormat="1" applyBorder="1"/>
    <xf numFmtId="0" fontId="1" fillId="6" borderId="2" xfId="6" applyBorder="1"/>
    <xf numFmtId="0" fontId="1" fillId="6" borderId="2" xfId="6" quotePrefix="1" applyBorder="1"/>
    <xf numFmtId="0" fontId="5" fillId="0" borderId="0" xfId="0" applyFont="1"/>
    <xf numFmtId="9" fontId="4" fillId="4" borderId="2" xfId="4" applyNumberFormat="1" applyBorder="1"/>
    <xf numFmtId="9" fontId="1" fillId="7" borderId="2" xfId="7" applyNumberFormat="1" applyBorder="1"/>
    <xf numFmtId="43" fontId="8" fillId="2" borderId="2" xfId="2" applyNumberFormat="1" applyFont="1" applyBorder="1"/>
    <xf numFmtId="0" fontId="0" fillId="0" borderId="2" xfId="0" applyBorder="1" applyAlignment="1">
      <alignment vertical="center"/>
    </xf>
    <xf numFmtId="43" fontId="9" fillId="10" borderId="2" xfId="3" applyNumberFormat="1" applyFont="1" applyFill="1" applyBorder="1"/>
    <xf numFmtId="0" fontId="0" fillId="0" borderId="2" xfId="0" quotePrefix="1" applyBorder="1" applyAlignment="1">
      <alignment vertical="center"/>
    </xf>
    <xf numFmtId="0" fontId="6" fillId="5" borderId="2" xfId="5" applyBorder="1" applyAlignment="1">
      <alignment wrapText="1"/>
    </xf>
    <xf numFmtId="0" fontId="6" fillId="5" borderId="2" xfId="5" applyBorder="1" applyAlignment="1">
      <alignment horizontal="center"/>
    </xf>
    <xf numFmtId="0" fontId="0" fillId="0" borderId="2" xfId="0" applyBorder="1" applyAlignment="1">
      <alignment horizontal="center"/>
    </xf>
    <xf numFmtId="164" fontId="9" fillId="10" borderId="2" xfId="3" applyNumberFormat="1" applyFont="1" applyFill="1" applyBorder="1"/>
    <xf numFmtId="164" fontId="8" fillId="2" borderId="2" xfId="2" applyNumberFormat="1" applyFont="1" applyBorder="1"/>
    <xf numFmtId="0" fontId="1" fillId="6" borderId="2" xfId="6" applyBorder="1" applyAlignment="1">
      <alignment horizontal="center" vertical="center"/>
    </xf>
    <xf numFmtId="0" fontId="1" fillId="6" borderId="2" xfId="6" applyBorder="1" applyAlignment="1">
      <alignment horizontal="center"/>
    </xf>
    <xf numFmtId="0" fontId="3" fillId="3" borderId="0" xfId="3" applyAlignment="1">
      <alignment horizontal="center"/>
    </xf>
    <xf numFmtId="0" fontId="2" fillId="2" borderId="0" xfId="2" applyAlignment="1">
      <alignment horizontal="center"/>
    </xf>
    <xf numFmtId="0" fontId="3" fillId="3" borderId="3" xfId="3" applyBorder="1" applyAlignment="1">
      <alignment horizontal="center"/>
    </xf>
    <xf numFmtId="0" fontId="2" fillId="2" borderId="3" xfId="2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20% - Accent1" xfId="6" builtinId="30"/>
    <cellStyle name="20% - Accent3" xfId="7" builtinId="38"/>
    <cellStyle name="Accent1" xfId="5" builtinId="29"/>
    <cellStyle name="Bad" xfId="3" builtinId="27"/>
    <cellStyle name="Comma" xfId="1" builtinId="3"/>
    <cellStyle name="Good" xfId="2" builtinId="26"/>
    <cellStyle name="Input" xfId="4" builtinId="20"/>
    <cellStyle name="Normal" xfId="0" builtinId="0"/>
  </cellStyles>
  <dxfs count="9">
    <dxf>
      <font>
        <b/>
        <i val="0"/>
      </font>
      <fill>
        <patternFill patternType="solid">
          <bgColor theme="4" tint="0.79998168889431442"/>
        </patternFill>
      </fill>
    </dxf>
    <dxf>
      <font>
        <b/>
        <i val="0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 patternType="solid">
          <bgColor theme="4" tint="0.79998168889431442"/>
        </patternFill>
      </fill>
    </dxf>
    <dxf>
      <font>
        <b/>
        <i val="0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 patternType="solid">
          <bgColor theme="4" tint="0.79998168889431442"/>
        </patternFill>
      </fill>
    </dxf>
    <dxf>
      <font>
        <b/>
        <i val="0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uss, L" id="{3DD2C779-C105-4BB7-82D1-4C4AFA8C3F3D}" userId="Jauss, L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6" dT="2022-10-13T09:29:06.96" personId="{3DD2C779-C105-4BB7-82D1-4C4AFA8C3F3D}" id="{C31D70D8-D336-4465-86CB-E4A8885A13F0}">
    <text>All apportioned based on total firm exit capacity holdings CAP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16" dT="2022-10-13T09:29:06.96" personId="{3DD2C779-C105-4BB7-82D1-4C4AFA8C3F3D}" id="{50967B13-2A0F-4764-B97D-C0B215F5E593}">
    <text>All apportioned based on total firm exit capacity holdings CAP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16" dT="2022-10-13T09:29:06.96" personId="{3DD2C779-C105-4BB7-82D1-4C4AFA8C3F3D}" id="{BCEF21FB-DCB5-4CFF-A545-01CC962E62B7}">
    <text>All apportioned based on total firm exit capacity holdings CAP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CD83-C084-4C20-A37D-14757CB52F69}">
  <dimension ref="B5:O37"/>
  <sheetViews>
    <sheetView tabSelected="1" zoomScale="90" zoomScaleNormal="90" workbookViewId="0">
      <selection activeCell="F13" sqref="F13"/>
    </sheetView>
  </sheetViews>
  <sheetFormatPr defaultRowHeight="15" x14ac:dyDescent="0.25"/>
  <cols>
    <col min="2" max="2" width="67.140625" customWidth="1"/>
    <col min="3" max="3" width="13.85546875" bestFit="1" customWidth="1"/>
    <col min="4" max="4" width="44.5703125" customWidth="1"/>
    <col min="5" max="6" width="11" bestFit="1" customWidth="1"/>
    <col min="7" max="7" width="9.5703125" bestFit="1" customWidth="1"/>
    <col min="8" max="8" width="11.42578125" customWidth="1"/>
    <col min="9" max="9" width="10.28515625" customWidth="1"/>
    <col min="10" max="10" width="8.5703125" customWidth="1"/>
    <col min="11" max="11" width="8.42578125" bestFit="1" customWidth="1"/>
    <col min="12" max="12" width="11.5703125" customWidth="1"/>
    <col min="13" max="13" width="13.42578125" customWidth="1"/>
    <col min="14" max="15" width="8.42578125" bestFit="1" customWidth="1"/>
  </cols>
  <sheetData>
    <row r="5" spans="2:15" x14ac:dyDescent="0.25">
      <c r="E5" s="2" t="s">
        <v>3</v>
      </c>
      <c r="F5" s="2" t="s">
        <v>4</v>
      </c>
      <c r="G5" s="2" t="s">
        <v>6</v>
      </c>
    </row>
    <row r="6" spans="2:15" x14ac:dyDescent="0.25">
      <c r="B6" s="24" t="s">
        <v>0</v>
      </c>
      <c r="C6" s="24"/>
      <c r="D6" s="3" t="s">
        <v>10</v>
      </c>
      <c r="E6" s="4">
        <v>150000</v>
      </c>
      <c r="F6" s="4">
        <v>50000</v>
      </c>
      <c r="G6" s="4">
        <v>100000</v>
      </c>
    </row>
    <row r="7" spans="2:15" x14ac:dyDescent="0.25">
      <c r="B7" s="24"/>
      <c r="C7" s="24"/>
      <c r="D7" s="3" t="s">
        <v>11</v>
      </c>
      <c r="E7" s="4">
        <v>0</v>
      </c>
      <c r="F7" s="4">
        <v>0</v>
      </c>
      <c r="G7" s="4">
        <v>0</v>
      </c>
    </row>
    <row r="8" spans="2:15" x14ac:dyDescent="0.25">
      <c r="B8" s="24"/>
      <c r="C8" s="24"/>
      <c r="D8" s="3" t="s">
        <v>13</v>
      </c>
      <c r="E8" s="5"/>
      <c r="F8" s="5"/>
      <c r="G8" s="4">
        <v>0</v>
      </c>
    </row>
    <row r="9" spans="2:15" x14ac:dyDescent="0.25">
      <c r="B9" s="24"/>
      <c r="C9" s="24"/>
      <c r="D9" s="3" t="s">
        <v>12</v>
      </c>
      <c r="E9" s="4">
        <v>0</v>
      </c>
      <c r="F9" s="4">
        <v>0</v>
      </c>
      <c r="G9" s="4">
        <v>0</v>
      </c>
    </row>
    <row r="10" spans="2:15" x14ac:dyDescent="0.25">
      <c r="B10" s="25" t="s">
        <v>1</v>
      </c>
      <c r="C10" s="25"/>
      <c r="D10" s="25"/>
      <c r="E10" s="4">
        <v>10000</v>
      </c>
      <c r="F10" s="4">
        <v>40000</v>
      </c>
      <c r="G10" s="4">
        <v>100000</v>
      </c>
    </row>
    <row r="13" spans="2:15" x14ac:dyDescent="0.25">
      <c r="B13" s="12"/>
      <c r="H13" s="26" t="s">
        <v>37</v>
      </c>
      <c r="I13" s="26"/>
      <c r="J13" s="26"/>
      <c r="K13" s="26"/>
      <c r="L13" s="27" t="s">
        <v>36</v>
      </c>
      <c r="M13" s="27"/>
      <c r="N13" s="27"/>
      <c r="O13" s="27"/>
    </row>
    <row r="14" spans="2:15" x14ac:dyDescent="0.25">
      <c r="B14" s="12"/>
      <c r="E14" s="1" t="s">
        <v>2</v>
      </c>
      <c r="F14" s="1" t="s">
        <v>2</v>
      </c>
      <c r="G14" s="1" t="s">
        <v>2</v>
      </c>
      <c r="H14" s="30" t="s">
        <v>38</v>
      </c>
      <c r="I14" s="30"/>
      <c r="J14" s="1" t="s">
        <v>2</v>
      </c>
      <c r="K14" s="1" t="s">
        <v>2</v>
      </c>
      <c r="L14" s="30" t="s">
        <v>38</v>
      </c>
      <c r="M14" s="30"/>
      <c r="N14" s="1" t="s">
        <v>2</v>
      </c>
      <c r="O14" s="1" t="s">
        <v>2</v>
      </c>
    </row>
    <row r="15" spans="2:15" x14ac:dyDescent="0.25">
      <c r="B15" s="6" t="s">
        <v>22</v>
      </c>
      <c r="C15" s="6" t="s">
        <v>21</v>
      </c>
      <c r="D15" s="6" t="s">
        <v>20</v>
      </c>
      <c r="E15" s="20" t="s">
        <v>14</v>
      </c>
      <c r="F15" s="20" t="s">
        <v>15</v>
      </c>
      <c r="G15" s="20" t="s">
        <v>23</v>
      </c>
      <c r="H15" s="21" t="s">
        <v>16</v>
      </c>
      <c r="I15" s="21" t="s">
        <v>17</v>
      </c>
      <c r="J15" s="20" t="s">
        <v>16</v>
      </c>
      <c r="K15" s="20" t="s">
        <v>17</v>
      </c>
      <c r="L15" s="21" t="s">
        <v>16</v>
      </c>
      <c r="M15" s="21" t="s">
        <v>17</v>
      </c>
      <c r="N15" s="20" t="s">
        <v>16</v>
      </c>
      <c r="O15" s="20" t="s">
        <v>17</v>
      </c>
    </row>
    <row r="16" spans="2:15" x14ac:dyDescent="0.25">
      <c r="B16" s="10" t="s">
        <v>29</v>
      </c>
      <c r="C16" s="10" t="s">
        <v>7</v>
      </c>
      <c r="D16" s="10" t="str">
        <f>D6&amp;" + "&amp;D7&amp;" +  "&amp;D8</f>
        <v>Firm (Auction) + Firm (Traded) +  Firm (Existing)</v>
      </c>
      <c r="E16" s="8">
        <f>E6+E7+E8</f>
        <v>150000</v>
      </c>
      <c r="F16" s="8">
        <f>F6+F7+F8</f>
        <v>50000</v>
      </c>
      <c r="G16" s="8">
        <f>G6+G7+G8</f>
        <v>100000</v>
      </c>
      <c r="H16" s="13">
        <f>E16/(E16+F16)</f>
        <v>0.75</v>
      </c>
      <c r="I16" s="13">
        <f>F16/(E16+F16)</f>
        <v>0.25</v>
      </c>
      <c r="J16" s="8">
        <f>G16*H16</f>
        <v>75000</v>
      </c>
      <c r="K16" s="8">
        <f>G16*I16</f>
        <v>25000</v>
      </c>
      <c r="L16" s="13">
        <f>MIN(E16,E19)/(MIN(E16,E19)+MIN(F16,F19))</f>
        <v>0.2</v>
      </c>
      <c r="M16" s="13">
        <f>MIN(F16,F19)/(MIN(E16,E19)+MIN(F16,F19))</f>
        <v>0.8</v>
      </c>
      <c r="N16" s="23">
        <f>G16*L16</f>
        <v>20000</v>
      </c>
      <c r="O16" s="23">
        <f>G16*M16</f>
        <v>80000</v>
      </c>
    </row>
    <row r="17" spans="2:15" x14ac:dyDescent="0.25">
      <c r="B17" s="10" t="s">
        <v>13</v>
      </c>
      <c r="C17" s="10" t="s">
        <v>18</v>
      </c>
      <c r="D17" s="10" t="str">
        <f>D8</f>
        <v>Firm (Existing)</v>
      </c>
      <c r="E17" s="8">
        <f>E8</f>
        <v>0</v>
      </c>
      <c r="F17" s="8">
        <f>F8</f>
        <v>0</v>
      </c>
      <c r="G17" s="8">
        <f>G8</f>
        <v>0</v>
      </c>
      <c r="H17" s="14">
        <f>H16</f>
        <v>0.75</v>
      </c>
      <c r="I17" s="14">
        <f>I16</f>
        <v>0.25</v>
      </c>
      <c r="J17" s="8">
        <f>G17*H17</f>
        <v>0</v>
      </c>
      <c r="K17" s="8">
        <f>G17*I17</f>
        <v>0</v>
      </c>
      <c r="L17" s="14">
        <f t="shared" ref="L17:M19" si="0">L16</f>
        <v>0.2</v>
      </c>
      <c r="M17" s="14">
        <f t="shared" si="0"/>
        <v>0.8</v>
      </c>
      <c r="N17" s="23">
        <f t="shared" ref="N17:N19" si="1">G17*L17</f>
        <v>0</v>
      </c>
      <c r="O17" s="23">
        <f t="shared" ref="O17:O19" si="2">G17*M17</f>
        <v>0</v>
      </c>
    </row>
    <row r="18" spans="2:15" x14ac:dyDescent="0.25">
      <c r="B18" s="10" t="s">
        <v>43</v>
      </c>
      <c r="C18" s="10" t="s">
        <v>8</v>
      </c>
      <c r="D18" s="10" t="str">
        <f>"MIN("&amp;D6&amp;", "&amp;B16&amp;")"</f>
        <v>MIN(Firm (Auction), Total Firm)</v>
      </c>
      <c r="E18" s="8">
        <f>MIN(E6, E6+E7+E8)</f>
        <v>150000</v>
      </c>
      <c r="F18" s="8">
        <f t="shared" ref="F18" si="3">MIN(F6, F6+F7+F8)</f>
        <v>50000</v>
      </c>
      <c r="G18" s="8">
        <f>MAX(MIN(G6+G7+G8,G6+G7),0)</f>
        <v>100000</v>
      </c>
      <c r="H18" s="14">
        <f>H17</f>
        <v>0.75</v>
      </c>
      <c r="I18" s="14">
        <f>I17</f>
        <v>0.25</v>
      </c>
      <c r="J18" s="8">
        <f>G18*H18</f>
        <v>75000</v>
      </c>
      <c r="K18" s="8">
        <f>G18*I18</f>
        <v>25000</v>
      </c>
      <c r="L18" s="14">
        <f t="shared" si="0"/>
        <v>0.2</v>
      </c>
      <c r="M18" s="14">
        <f t="shared" si="0"/>
        <v>0.8</v>
      </c>
      <c r="N18" s="23">
        <f t="shared" si="1"/>
        <v>20000</v>
      </c>
      <c r="O18" s="23">
        <f t="shared" si="2"/>
        <v>80000</v>
      </c>
    </row>
    <row r="19" spans="2:15" x14ac:dyDescent="0.25">
      <c r="B19" s="10" t="s">
        <v>1</v>
      </c>
      <c r="C19" s="11" t="s">
        <v>9</v>
      </c>
      <c r="D19" s="11" t="s">
        <v>1</v>
      </c>
      <c r="E19" s="8">
        <f>E10</f>
        <v>10000</v>
      </c>
      <c r="F19" s="8">
        <f>F10</f>
        <v>40000</v>
      </c>
      <c r="G19" s="8">
        <f>G10</f>
        <v>100000</v>
      </c>
      <c r="H19" s="13">
        <f>E19/(E19+F19)</f>
        <v>0.2</v>
      </c>
      <c r="I19" s="13">
        <f>F19/(E19+F19)</f>
        <v>0.8</v>
      </c>
      <c r="J19" s="8">
        <f>G19*H19</f>
        <v>20000</v>
      </c>
      <c r="K19" s="8">
        <f>G19*I19</f>
        <v>80000</v>
      </c>
      <c r="L19" s="14">
        <f t="shared" si="0"/>
        <v>0.2</v>
      </c>
      <c r="M19" s="14">
        <f t="shared" si="0"/>
        <v>0.8</v>
      </c>
      <c r="N19" s="23">
        <f t="shared" si="1"/>
        <v>20000</v>
      </c>
      <c r="O19" s="23">
        <f t="shared" si="2"/>
        <v>80000</v>
      </c>
    </row>
    <row r="21" spans="2:15" x14ac:dyDescent="0.25">
      <c r="E21" s="28" t="s">
        <v>37</v>
      </c>
      <c r="F21" s="28"/>
      <c r="G21" s="29" t="s">
        <v>56</v>
      </c>
      <c r="H21" s="29"/>
    </row>
    <row r="22" spans="2:15" ht="34.5" customHeight="1" x14ac:dyDescent="0.25">
      <c r="B22" s="6" t="s">
        <v>48</v>
      </c>
      <c r="C22" s="6" t="s">
        <v>5</v>
      </c>
      <c r="D22" s="6" t="s">
        <v>20</v>
      </c>
      <c r="E22" s="19" t="s">
        <v>54</v>
      </c>
      <c r="F22" s="19" t="s">
        <v>55</v>
      </c>
      <c r="G22" s="19" t="s">
        <v>54</v>
      </c>
      <c r="H22" s="19" t="s">
        <v>55</v>
      </c>
    </row>
    <row r="23" spans="2:15" ht="18" x14ac:dyDescent="0.25">
      <c r="B23" s="7" t="s">
        <v>53</v>
      </c>
      <c r="C23" s="16" t="s">
        <v>28</v>
      </c>
      <c r="D23" s="16" t="s">
        <v>35</v>
      </c>
      <c r="E23" s="8">
        <f>MIN(J16,E16,J19,E19)</f>
        <v>10000</v>
      </c>
      <c r="F23" s="8">
        <f>MIN(K16,F16,K19,F19)</f>
        <v>25000</v>
      </c>
      <c r="G23" s="8">
        <f>MIN(N16,E16,N19,E19)</f>
        <v>10000</v>
      </c>
      <c r="H23" s="8">
        <f>MIN(O16,F16,O19,F19)</f>
        <v>40000</v>
      </c>
    </row>
    <row r="24" spans="2:15" ht="18" x14ac:dyDescent="0.25">
      <c r="B24" s="7" t="str">
        <f>"2. Consider existing capacity holding, "&amp;D24</f>
        <v>2. Consider existing capacity holding, ECEn</v>
      </c>
      <c r="C24" s="16" t="s">
        <v>51</v>
      </c>
      <c r="D24" s="16" t="s">
        <v>51</v>
      </c>
      <c r="E24" s="8">
        <f>J17</f>
        <v>0</v>
      </c>
      <c r="F24" s="8">
        <f>K17</f>
        <v>0</v>
      </c>
      <c r="G24" s="8">
        <f>N17</f>
        <v>0</v>
      </c>
      <c r="H24" s="8">
        <f>O17</f>
        <v>0</v>
      </c>
    </row>
    <row r="25" spans="2:15" ht="18" x14ac:dyDescent="0.25">
      <c r="B25" s="7" t="s">
        <v>24</v>
      </c>
      <c r="C25" s="16" t="s">
        <v>25</v>
      </c>
      <c r="D25" s="16" t="s">
        <v>34</v>
      </c>
      <c r="E25" s="8">
        <f>MAX(E23-E24,0)</f>
        <v>10000</v>
      </c>
      <c r="F25" s="8">
        <f>MAX(F23-F24,0)</f>
        <v>25000</v>
      </c>
      <c r="G25" s="8">
        <f>MAX(G23-G24,0)</f>
        <v>10000</v>
      </c>
      <c r="H25" s="8">
        <f>MAX(H23-H24,0)</f>
        <v>40000</v>
      </c>
    </row>
    <row r="26" spans="2:15" ht="18" x14ac:dyDescent="0.25">
      <c r="B26" s="7" t="s">
        <v>44</v>
      </c>
      <c r="C26" s="16" t="s">
        <v>46</v>
      </c>
      <c r="D26" s="18" t="s">
        <v>39</v>
      </c>
      <c r="E26" s="8">
        <f>J18</f>
        <v>75000</v>
      </c>
      <c r="F26" s="8">
        <f>K18</f>
        <v>25000</v>
      </c>
      <c r="G26" s="8">
        <f>N18</f>
        <v>20000</v>
      </c>
      <c r="H26" s="8">
        <f>O18</f>
        <v>80000</v>
      </c>
    </row>
    <row r="27" spans="2:15" ht="18" x14ac:dyDescent="0.25">
      <c r="B27" s="7" t="s">
        <v>45</v>
      </c>
      <c r="C27" s="16" t="s">
        <v>47</v>
      </c>
      <c r="D27" s="18" t="s">
        <v>39</v>
      </c>
      <c r="E27" s="8">
        <f>E18</f>
        <v>150000</v>
      </c>
      <c r="F27" s="8">
        <f>F18</f>
        <v>50000</v>
      </c>
      <c r="G27" s="8">
        <f>E18</f>
        <v>150000</v>
      </c>
      <c r="H27" s="8">
        <f>F18</f>
        <v>50000</v>
      </c>
    </row>
    <row r="28" spans="2:15" ht="18" x14ac:dyDescent="0.25">
      <c r="B28" s="7" t="s">
        <v>30</v>
      </c>
      <c r="C28" s="16" t="s">
        <v>26</v>
      </c>
      <c r="D28" s="16" t="s">
        <v>27</v>
      </c>
      <c r="E28" s="22">
        <f>MIN(E25,E26)</f>
        <v>10000</v>
      </c>
      <c r="F28" s="22">
        <f>MIN(F25,F26)</f>
        <v>25000</v>
      </c>
      <c r="G28" s="23">
        <f>MIN(G25,G26)</f>
        <v>10000</v>
      </c>
      <c r="H28" s="23">
        <f>MIN(H25,H26)</f>
        <v>40000</v>
      </c>
    </row>
    <row r="29" spans="2:15" ht="18" x14ac:dyDescent="0.25">
      <c r="B29" s="7" t="s">
        <v>31</v>
      </c>
      <c r="C29" s="16" t="s">
        <v>32</v>
      </c>
      <c r="D29" s="16" t="s">
        <v>33</v>
      </c>
      <c r="E29" s="22">
        <f>MIN(E23,E27)</f>
        <v>10000</v>
      </c>
      <c r="F29" s="22">
        <f>MIN(F23,F27)</f>
        <v>25000</v>
      </c>
      <c r="G29" s="23">
        <f>MIN(G23,G27)</f>
        <v>10000</v>
      </c>
      <c r="H29" s="23">
        <f>MIN(H23,H27)</f>
        <v>40000</v>
      </c>
    </row>
    <row r="33" spans="2:2" x14ac:dyDescent="0.25">
      <c r="B33" t="s">
        <v>42</v>
      </c>
    </row>
    <row r="34" spans="2:2" x14ac:dyDescent="0.25">
      <c r="B34" t="s">
        <v>41</v>
      </c>
    </row>
    <row r="35" spans="2:2" x14ac:dyDescent="0.25">
      <c r="B35" t="s">
        <v>49</v>
      </c>
    </row>
    <row r="36" spans="2:2" x14ac:dyDescent="0.25">
      <c r="B36" t="s">
        <v>52</v>
      </c>
    </row>
    <row r="37" spans="2:2" x14ac:dyDescent="0.25">
      <c r="B37" t="s">
        <v>50</v>
      </c>
    </row>
  </sheetData>
  <mergeCells count="8">
    <mergeCell ref="B6:C9"/>
    <mergeCell ref="B10:D10"/>
    <mergeCell ref="H13:K13"/>
    <mergeCell ref="L13:O13"/>
    <mergeCell ref="E21:F21"/>
    <mergeCell ref="G21:H21"/>
    <mergeCell ref="H14:I14"/>
    <mergeCell ref="L14:M14"/>
  </mergeCells>
  <conditionalFormatting sqref="N16:O19">
    <cfRule type="cellIs" dxfId="8" priority="3" operator="equal">
      <formula>J16</formula>
    </cfRule>
  </conditionalFormatting>
  <conditionalFormatting sqref="G29:H29">
    <cfRule type="cellIs" dxfId="7" priority="2" operator="equal">
      <formula>E29</formula>
    </cfRule>
  </conditionalFormatting>
  <conditionalFormatting sqref="G28:H28">
    <cfRule type="cellIs" dxfId="6" priority="1" operator="equal">
      <formula>E28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8E3FF-1A28-4F6E-ABF6-C85C2FBD7975}">
  <dimension ref="B5:O37"/>
  <sheetViews>
    <sheetView zoomScale="90" zoomScaleNormal="90" workbookViewId="0">
      <selection activeCell="B32" sqref="B32"/>
    </sheetView>
  </sheetViews>
  <sheetFormatPr defaultRowHeight="15" x14ac:dyDescent="0.25"/>
  <cols>
    <col min="2" max="2" width="67.140625" customWidth="1"/>
    <col min="3" max="3" width="13.85546875" bestFit="1" customWidth="1"/>
    <col min="4" max="4" width="44.5703125" customWidth="1"/>
    <col min="5" max="5" width="17.5703125" customWidth="1"/>
    <col min="6" max="6" width="16.5703125" customWidth="1"/>
    <col min="7" max="7" width="17.85546875" customWidth="1"/>
    <col min="8" max="8" width="17.7109375" customWidth="1"/>
    <col min="9" max="9" width="11.85546875" customWidth="1"/>
    <col min="10" max="10" width="12.85546875" customWidth="1"/>
    <col min="11" max="11" width="13.5703125" customWidth="1"/>
    <col min="13" max="13" width="15.140625" customWidth="1"/>
    <col min="14" max="14" width="11.140625" customWidth="1"/>
    <col min="15" max="15" width="13" customWidth="1"/>
  </cols>
  <sheetData>
    <row r="5" spans="2:15" x14ac:dyDescent="0.25">
      <c r="E5" s="2" t="s">
        <v>3</v>
      </c>
      <c r="F5" s="2" t="s">
        <v>4</v>
      </c>
      <c r="G5" s="2" t="s">
        <v>6</v>
      </c>
    </row>
    <row r="6" spans="2:15" x14ac:dyDescent="0.25">
      <c r="B6" s="24" t="s">
        <v>0</v>
      </c>
      <c r="C6" s="24"/>
      <c r="D6" s="3" t="s">
        <v>10</v>
      </c>
      <c r="E6" s="4">
        <v>50000</v>
      </c>
      <c r="F6" s="4">
        <v>60000</v>
      </c>
      <c r="G6" s="4">
        <v>50000</v>
      </c>
    </row>
    <row r="7" spans="2:15" x14ac:dyDescent="0.25">
      <c r="B7" s="24"/>
      <c r="C7" s="24"/>
      <c r="D7" s="3" t="s">
        <v>11</v>
      </c>
      <c r="E7" s="4">
        <v>-10000</v>
      </c>
      <c r="F7" s="4">
        <v>15000</v>
      </c>
      <c r="G7" s="4">
        <v>-20000</v>
      </c>
    </row>
    <row r="8" spans="2:15" x14ac:dyDescent="0.25">
      <c r="B8" s="24"/>
      <c r="C8" s="24"/>
      <c r="D8" s="3" t="s">
        <v>13</v>
      </c>
      <c r="E8" s="5"/>
      <c r="F8" s="5"/>
      <c r="G8" s="4">
        <v>100000</v>
      </c>
    </row>
    <row r="9" spans="2:15" x14ac:dyDescent="0.25">
      <c r="B9" s="24"/>
      <c r="C9" s="24"/>
      <c r="D9" s="3" t="s">
        <v>12</v>
      </c>
      <c r="E9" s="4">
        <v>20000</v>
      </c>
      <c r="F9" s="4">
        <v>30000</v>
      </c>
      <c r="G9" s="4">
        <v>50000</v>
      </c>
    </row>
    <row r="10" spans="2:15" x14ac:dyDescent="0.25">
      <c r="B10" s="25" t="s">
        <v>1</v>
      </c>
      <c r="C10" s="25"/>
      <c r="D10" s="25"/>
      <c r="E10" s="4">
        <v>55000</v>
      </c>
      <c r="F10" s="4">
        <v>110000</v>
      </c>
      <c r="G10" s="4">
        <v>170000</v>
      </c>
    </row>
    <row r="13" spans="2:15" x14ac:dyDescent="0.25">
      <c r="B13" s="12"/>
      <c r="H13" s="26" t="s">
        <v>37</v>
      </c>
      <c r="I13" s="26"/>
      <c r="J13" s="26"/>
      <c r="K13" s="26"/>
      <c r="L13" s="27" t="s">
        <v>36</v>
      </c>
      <c r="M13" s="27"/>
      <c r="N13" s="27"/>
      <c r="O13" s="27"/>
    </row>
    <row r="14" spans="2:15" x14ac:dyDescent="0.25">
      <c r="B14" s="12"/>
      <c r="E14" t="s">
        <v>2</v>
      </c>
      <c r="F14" t="s">
        <v>2</v>
      </c>
      <c r="G14" t="s">
        <v>2</v>
      </c>
      <c r="H14" t="s">
        <v>38</v>
      </c>
      <c r="J14" t="s">
        <v>2</v>
      </c>
      <c r="K14" t="s">
        <v>2</v>
      </c>
      <c r="L14" t="s">
        <v>38</v>
      </c>
      <c r="N14" t="s">
        <v>2</v>
      </c>
      <c r="O14" t="s">
        <v>2</v>
      </c>
    </row>
    <row r="15" spans="2:15" x14ac:dyDescent="0.25">
      <c r="B15" s="6" t="s">
        <v>22</v>
      </c>
      <c r="C15" s="6" t="s">
        <v>21</v>
      </c>
      <c r="D15" s="6" t="s">
        <v>20</v>
      </c>
      <c r="E15" s="6" t="s">
        <v>14</v>
      </c>
      <c r="F15" s="6" t="s">
        <v>15</v>
      </c>
      <c r="G15" s="6" t="s">
        <v>23</v>
      </c>
      <c r="H15" s="7" t="s">
        <v>16</v>
      </c>
      <c r="I15" s="7" t="s">
        <v>17</v>
      </c>
      <c r="J15" s="6" t="s">
        <v>16</v>
      </c>
      <c r="K15" s="6" t="s">
        <v>17</v>
      </c>
      <c r="L15" s="7" t="s">
        <v>16</v>
      </c>
      <c r="M15" s="7" t="s">
        <v>17</v>
      </c>
      <c r="N15" s="6" t="s">
        <v>16</v>
      </c>
      <c r="O15" s="6" t="s">
        <v>17</v>
      </c>
    </row>
    <row r="16" spans="2:15" x14ac:dyDescent="0.25">
      <c r="B16" s="10" t="s">
        <v>29</v>
      </c>
      <c r="C16" s="10" t="s">
        <v>7</v>
      </c>
      <c r="D16" s="10" t="str">
        <f>D6&amp;" + "&amp;D7&amp;" +  "&amp;D8</f>
        <v>Firm (Auction) + Firm (Traded) +  Firm (Existing)</v>
      </c>
      <c r="E16" s="8">
        <f>E6+E7+E8</f>
        <v>40000</v>
      </c>
      <c r="F16" s="8">
        <f>F6+F7+F8</f>
        <v>75000</v>
      </c>
      <c r="G16" s="8">
        <f>G6+G7+G8</f>
        <v>130000</v>
      </c>
      <c r="H16" s="13">
        <f>E16/(E16+F16)</f>
        <v>0.34782608695652173</v>
      </c>
      <c r="I16" s="13">
        <f>F16/(E16+F16)</f>
        <v>0.65217391304347827</v>
      </c>
      <c r="J16" s="9">
        <f>G16*H16</f>
        <v>45217.391304347824</v>
      </c>
      <c r="K16" s="9">
        <f>G16*I16</f>
        <v>84782.608695652176</v>
      </c>
      <c r="L16" s="13">
        <f>MIN(E16,E19)/(MIN(E16,E19)+MIN(F16,F19))</f>
        <v>0.34782608695652173</v>
      </c>
      <c r="M16" s="13">
        <f>MIN(F16,F19)/(MIN(E16,E19)+MIN(F16,F19))</f>
        <v>0.65217391304347827</v>
      </c>
      <c r="N16" s="15">
        <f>G16*L16</f>
        <v>45217.391304347824</v>
      </c>
      <c r="O16" s="15">
        <f>G16*M16</f>
        <v>84782.608695652176</v>
      </c>
    </row>
    <row r="17" spans="2:15" x14ac:dyDescent="0.25">
      <c r="B17" s="10" t="s">
        <v>13</v>
      </c>
      <c r="C17" s="10" t="s">
        <v>18</v>
      </c>
      <c r="D17" s="10" t="str">
        <f>D8</f>
        <v>Firm (Existing)</v>
      </c>
      <c r="E17" s="8">
        <f>E8</f>
        <v>0</v>
      </c>
      <c r="F17" s="8">
        <f>F8</f>
        <v>0</v>
      </c>
      <c r="G17" s="8">
        <f>G8</f>
        <v>100000</v>
      </c>
      <c r="H17" s="14">
        <f>H16</f>
        <v>0.34782608695652173</v>
      </c>
      <c r="I17" s="14">
        <f>I16</f>
        <v>0.65217391304347827</v>
      </c>
      <c r="J17" s="9">
        <f>G17*H17</f>
        <v>34782.608695652176</v>
      </c>
      <c r="K17" s="9">
        <f>G17*I17</f>
        <v>65217.391304347824</v>
      </c>
      <c r="L17" s="14">
        <f t="shared" ref="L17:M19" si="0">L16</f>
        <v>0.34782608695652173</v>
      </c>
      <c r="M17" s="14">
        <f t="shared" si="0"/>
        <v>0.65217391304347827</v>
      </c>
      <c r="N17" s="15">
        <f t="shared" ref="N17:N19" si="1">G17*L17</f>
        <v>34782.608695652176</v>
      </c>
      <c r="O17" s="15">
        <f t="shared" ref="O17:O19" si="2">G17*M17</f>
        <v>65217.391304347824</v>
      </c>
    </row>
    <row r="18" spans="2:15" x14ac:dyDescent="0.25">
      <c r="B18" s="10" t="s">
        <v>43</v>
      </c>
      <c r="C18" s="10" t="s">
        <v>8</v>
      </c>
      <c r="D18" s="10" t="str">
        <f>"MIN("&amp;D6&amp;", "&amp;B16&amp;")"</f>
        <v>MIN(Firm (Auction), Total Firm)</v>
      </c>
      <c r="E18" s="8">
        <f t="shared" ref="E18:F18" si="3">MIN(E6, E6+E7+E8)</f>
        <v>40000</v>
      </c>
      <c r="F18" s="8">
        <f t="shared" si="3"/>
        <v>60000</v>
      </c>
      <c r="G18" s="8">
        <f>MAX(MIN(G6+G7+G8,G6+G7),0)</f>
        <v>30000</v>
      </c>
      <c r="H18" s="14">
        <f>H17</f>
        <v>0.34782608695652173</v>
      </c>
      <c r="I18" s="14">
        <f>I17</f>
        <v>0.65217391304347827</v>
      </c>
      <c r="J18" s="9">
        <f>G18*H18</f>
        <v>10434.782608695652</v>
      </c>
      <c r="K18" s="9">
        <f>G18*I18</f>
        <v>19565.217391304348</v>
      </c>
      <c r="L18" s="14">
        <f t="shared" si="0"/>
        <v>0.34782608695652173</v>
      </c>
      <c r="M18" s="14">
        <f t="shared" si="0"/>
        <v>0.65217391304347827</v>
      </c>
      <c r="N18" s="15">
        <f t="shared" si="1"/>
        <v>10434.782608695652</v>
      </c>
      <c r="O18" s="15">
        <f t="shared" si="2"/>
        <v>19565.217391304348</v>
      </c>
    </row>
    <row r="19" spans="2:15" x14ac:dyDescent="0.25">
      <c r="B19" s="10" t="s">
        <v>1</v>
      </c>
      <c r="C19" s="11" t="s">
        <v>9</v>
      </c>
      <c r="D19" s="11" t="s">
        <v>1</v>
      </c>
      <c r="E19" s="8">
        <f>E10</f>
        <v>55000</v>
      </c>
      <c r="F19" s="8">
        <f>F10</f>
        <v>110000</v>
      </c>
      <c r="G19" s="8">
        <f>G10</f>
        <v>170000</v>
      </c>
      <c r="H19" s="13">
        <f>E19/(E19+F19)</f>
        <v>0.33333333333333331</v>
      </c>
      <c r="I19" s="13">
        <f>F19/(E19+F19)</f>
        <v>0.66666666666666663</v>
      </c>
      <c r="J19" s="9">
        <f>G19*H19</f>
        <v>56666.666666666664</v>
      </c>
      <c r="K19" s="9">
        <f>G19*I19</f>
        <v>113333.33333333333</v>
      </c>
      <c r="L19" s="14">
        <f t="shared" si="0"/>
        <v>0.34782608695652173</v>
      </c>
      <c r="M19" s="14">
        <f t="shared" si="0"/>
        <v>0.65217391304347827</v>
      </c>
      <c r="N19" s="15">
        <f t="shared" si="1"/>
        <v>59130.434782608696</v>
      </c>
      <c r="O19" s="15">
        <f t="shared" si="2"/>
        <v>110869.56521739131</v>
      </c>
    </row>
    <row r="21" spans="2:15" x14ac:dyDescent="0.25">
      <c r="E21" s="28" t="s">
        <v>37</v>
      </c>
      <c r="F21" s="28"/>
      <c r="G21" s="29" t="s">
        <v>36</v>
      </c>
      <c r="H21" s="29"/>
    </row>
    <row r="22" spans="2:15" x14ac:dyDescent="0.25">
      <c r="B22" s="6" t="s">
        <v>48</v>
      </c>
      <c r="C22" s="6" t="s">
        <v>5</v>
      </c>
      <c r="D22" s="6" t="s">
        <v>20</v>
      </c>
      <c r="E22" s="6" t="s">
        <v>19</v>
      </c>
      <c r="F22" s="6" t="s">
        <v>40</v>
      </c>
      <c r="G22" s="6" t="s">
        <v>19</v>
      </c>
      <c r="H22" s="6" t="s">
        <v>40</v>
      </c>
    </row>
    <row r="23" spans="2:15" ht="18" x14ac:dyDescent="0.25">
      <c r="B23" s="7" t="s">
        <v>53</v>
      </c>
      <c r="C23" s="16" t="s">
        <v>28</v>
      </c>
      <c r="D23" s="16" t="s">
        <v>35</v>
      </c>
      <c r="E23" s="9">
        <f>MIN(J16,E16,J19,E19)</f>
        <v>40000</v>
      </c>
      <c r="F23" s="9">
        <f>MIN(K16,F16,K19,F19)</f>
        <v>75000</v>
      </c>
      <c r="G23" s="9">
        <f>MIN(N16,E16,N19,E19)</f>
        <v>40000</v>
      </c>
      <c r="H23" s="9">
        <f>MIN(O16,F16,O19,F19)</f>
        <v>75000</v>
      </c>
    </row>
    <row r="24" spans="2:15" ht="18" x14ac:dyDescent="0.25">
      <c r="B24" s="7" t="str">
        <f>"2. Consider existing capacity holding, "&amp;D24</f>
        <v>2. Consider existing capacity holding, ECEn</v>
      </c>
      <c r="C24" s="16" t="s">
        <v>51</v>
      </c>
      <c r="D24" s="16" t="s">
        <v>51</v>
      </c>
      <c r="E24" s="9">
        <f>J17</f>
        <v>34782.608695652176</v>
      </c>
      <c r="F24" s="9">
        <f>K17</f>
        <v>65217.391304347824</v>
      </c>
      <c r="G24" s="9">
        <f>N17</f>
        <v>34782.608695652176</v>
      </c>
      <c r="H24" s="9">
        <f>O17</f>
        <v>65217.391304347824</v>
      </c>
    </row>
    <row r="25" spans="2:15" ht="18" x14ac:dyDescent="0.25">
      <c r="B25" s="7" t="s">
        <v>24</v>
      </c>
      <c r="C25" s="16" t="s">
        <v>25</v>
      </c>
      <c r="D25" s="16" t="s">
        <v>34</v>
      </c>
      <c r="E25" s="8">
        <f>MAX(E23-E24,0)</f>
        <v>5217.3913043478242</v>
      </c>
      <c r="F25" s="8">
        <f>MAX(F23-F24,0)</f>
        <v>9782.6086956521758</v>
      </c>
      <c r="G25" s="8">
        <f>MAX(G23-G24,0)</f>
        <v>5217.3913043478242</v>
      </c>
      <c r="H25" s="8">
        <f>MAX(H23-H24,0)</f>
        <v>9782.6086956521758</v>
      </c>
    </row>
    <row r="26" spans="2:15" ht="18" x14ac:dyDescent="0.25">
      <c r="B26" s="7" t="s">
        <v>44</v>
      </c>
      <c r="C26" s="16" t="s">
        <v>46</v>
      </c>
      <c r="D26" s="18" t="s">
        <v>39</v>
      </c>
      <c r="E26" s="9">
        <f>J18</f>
        <v>10434.782608695652</v>
      </c>
      <c r="F26" s="9">
        <f>K18</f>
        <v>19565.217391304348</v>
      </c>
      <c r="G26" s="9">
        <f>N18</f>
        <v>10434.782608695652</v>
      </c>
      <c r="H26" s="9">
        <f>O18</f>
        <v>19565.217391304348</v>
      </c>
    </row>
    <row r="27" spans="2:15" ht="18" x14ac:dyDescent="0.25">
      <c r="B27" s="7" t="s">
        <v>45</v>
      </c>
      <c r="C27" s="16" t="s">
        <v>47</v>
      </c>
      <c r="D27" s="18" t="s">
        <v>39</v>
      </c>
      <c r="E27" s="9">
        <f>E18</f>
        <v>40000</v>
      </c>
      <c r="F27" s="9">
        <f>F18</f>
        <v>60000</v>
      </c>
      <c r="G27" s="9">
        <f>E18</f>
        <v>40000</v>
      </c>
      <c r="H27" s="9">
        <f>F18</f>
        <v>60000</v>
      </c>
    </row>
    <row r="28" spans="2:15" ht="18" x14ac:dyDescent="0.25">
      <c r="B28" s="7" t="s">
        <v>30</v>
      </c>
      <c r="C28" s="16" t="s">
        <v>26</v>
      </c>
      <c r="D28" s="16" t="s">
        <v>27</v>
      </c>
      <c r="E28" s="17">
        <f>MIN(E25,E26)</f>
        <v>5217.3913043478242</v>
      </c>
      <c r="F28" s="17">
        <f>MIN(F25,F26)</f>
        <v>9782.6086956521758</v>
      </c>
      <c r="G28" s="15">
        <f>MIN(G25,G26)</f>
        <v>5217.3913043478242</v>
      </c>
      <c r="H28" s="15">
        <f>MIN(H25,H26)</f>
        <v>9782.6086956521758</v>
      </c>
    </row>
    <row r="29" spans="2:15" ht="18" x14ac:dyDescent="0.25">
      <c r="B29" s="7" t="s">
        <v>31</v>
      </c>
      <c r="C29" s="16" t="s">
        <v>32</v>
      </c>
      <c r="D29" s="16" t="s">
        <v>33</v>
      </c>
      <c r="E29" s="17">
        <f>MIN(E23,E27)</f>
        <v>40000</v>
      </c>
      <c r="F29" s="17">
        <f>MIN(F23,F27)</f>
        <v>60000</v>
      </c>
      <c r="G29" s="15">
        <f>MIN(G23,G27)</f>
        <v>40000</v>
      </c>
      <c r="H29" s="15">
        <f>MIN(H23,H27)</f>
        <v>60000</v>
      </c>
    </row>
    <row r="33" spans="2:2" x14ac:dyDescent="0.25">
      <c r="B33" t="s">
        <v>42</v>
      </c>
    </row>
    <row r="34" spans="2:2" x14ac:dyDescent="0.25">
      <c r="B34" t="s">
        <v>41</v>
      </c>
    </row>
    <row r="35" spans="2:2" x14ac:dyDescent="0.25">
      <c r="B35" t="s">
        <v>49</v>
      </c>
    </row>
    <row r="36" spans="2:2" x14ac:dyDescent="0.25">
      <c r="B36" t="s">
        <v>52</v>
      </c>
    </row>
    <row r="37" spans="2:2" x14ac:dyDescent="0.25">
      <c r="B37" t="s">
        <v>50</v>
      </c>
    </row>
  </sheetData>
  <mergeCells count="6">
    <mergeCell ref="B6:C9"/>
    <mergeCell ref="B10:D10"/>
    <mergeCell ref="H13:K13"/>
    <mergeCell ref="L13:O13"/>
    <mergeCell ref="E21:F21"/>
    <mergeCell ref="G21:H21"/>
  </mergeCells>
  <conditionalFormatting sqref="N16:O19">
    <cfRule type="cellIs" dxfId="5" priority="3" operator="equal">
      <formula>J16</formula>
    </cfRule>
  </conditionalFormatting>
  <conditionalFormatting sqref="G29:H29">
    <cfRule type="cellIs" dxfId="4" priority="2" operator="equal">
      <formula>E29</formula>
    </cfRule>
  </conditionalFormatting>
  <conditionalFormatting sqref="G28:H28">
    <cfRule type="cellIs" dxfId="3" priority="1" operator="equal">
      <formula>E28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A86FD-36D7-4EEC-9640-52FFA3A8BE11}">
  <dimension ref="B5:O37"/>
  <sheetViews>
    <sheetView zoomScale="90" zoomScaleNormal="90" workbookViewId="0">
      <selection activeCell="E27" sqref="E27"/>
    </sheetView>
  </sheetViews>
  <sheetFormatPr defaultRowHeight="15" x14ac:dyDescent="0.25"/>
  <cols>
    <col min="2" max="2" width="66.85546875" customWidth="1"/>
    <col min="3" max="3" width="13.85546875" bestFit="1" customWidth="1"/>
    <col min="4" max="4" width="44.5703125" customWidth="1"/>
    <col min="5" max="5" width="17.5703125" customWidth="1"/>
    <col min="6" max="6" width="16.5703125" customWidth="1"/>
    <col min="7" max="7" width="17.85546875" customWidth="1"/>
    <col min="8" max="8" width="17.7109375" customWidth="1"/>
    <col min="9" max="9" width="11.85546875" customWidth="1"/>
    <col min="10" max="10" width="12.85546875" customWidth="1"/>
    <col min="11" max="11" width="13.5703125" customWidth="1"/>
    <col min="13" max="13" width="15.140625" customWidth="1"/>
    <col min="14" max="14" width="11.140625" customWidth="1"/>
    <col min="15" max="15" width="13" customWidth="1"/>
  </cols>
  <sheetData>
    <row r="5" spans="2:15" x14ac:dyDescent="0.25">
      <c r="E5" s="2" t="s">
        <v>3</v>
      </c>
      <c r="F5" s="2" t="s">
        <v>4</v>
      </c>
      <c r="G5" s="2" t="s">
        <v>6</v>
      </c>
    </row>
    <row r="6" spans="2:15" x14ac:dyDescent="0.25">
      <c r="B6" s="24" t="s">
        <v>0</v>
      </c>
      <c r="C6" s="24"/>
      <c r="D6" s="3" t="s">
        <v>10</v>
      </c>
      <c r="E6" s="4">
        <v>45000</v>
      </c>
      <c r="F6" s="4">
        <v>55000</v>
      </c>
      <c r="G6" s="4">
        <v>105000</v>
      </c>
    </row>
    <row r="7" spans="2:15" x14ac:dyDescent="0.25">
      <c r="B7" s="24"/>
      <c r="C7" s="24"/>
      <c r="D7" s="3" t="s">
        <v>11</v>
      </c>
      <c r="E7" s="4">
        <v>0</v>
      </c>
      <c r="F7" s="4">
        <v>0</v>
      </c>
      <c r="G7" s="4">
        <v>0</v>
      </c>
    </row>
    <row r="8" spans="2:15" x14ac:dyDescent="0.25">
      <c r="B8" s="24"/>
      <c r="C8" s="24"/>
      <c r="D8" s="3" t="s">
        <v>13</v>
      </c>
      <c r="E8" s="5"/>
      <c r="F8" s="5"/>
      <c r="G8" s="4">
        <v>0</v>
      </c>
    </row>
    <row r="9" spans="2:15" x14ac:dyDescent="0.25">
      <c r="B9" s="24"/>
      <c r="C9" s="24"/>
      <c r="D9" s="3" t="s">
        <v>12</v>
      </c>
      <c r="E9" s="4">
        <v>0</v>
      </c>
      <c r="F9" s="4">
        <v>0</v>
      </c>
      <c r="G9" s="4">
        <v>0</v>
      </c>
    </row>
    <row r="10" spans="2:15" x14ac:dyDescent="0.25">
      <c r="B10" s="25" t="s">
        <v>1</v>
      </c>
      <c r="C10" s="25"/>
      <c r="D10" s="25"/>
      <c r="E10" s="4">
        <v>40000</v>
      </c>
      <c r="F10" s="4">
        <v>45000</v>
      </c>
      <c r="G10" s="4">
        <v>90000</v>
      </c>
    </row>
    <row r="13" spans="2:15" x14ac:dyDescent="0.25">
      <c r="B13" s="12"/>
      <c r="H13" t="s">
        <v>37</v>
      </c>
      <c r="L13" t="s">
        <v>36</v>
      </c>
    </row>
    <row r="14" spans="2:15" x14ac:dyDescent="0.25">
      <c r="B14" s="12"/>
      <c r="E14" t="s">
        <v>2</v>
      </c>
      <c r="F14" t="s">
        <v>2</v>
      </c>
      <c r="G14" t="s">
        <v>2</v>
      </c>
      <c r="H14" t="s">
        <v>38</v>
      </c>
      <c r="J14" t="s">
        <v>2</v>
      </c>
      <c r="K14" t="s">
        <v>2</v>
      </c>
      <c r="L14" t="s">
        <v>38</v>
      </c>
      <c r="N14" t="s">
        <v>2</v>
      </c>
      <c r="O14" t="s">
        <v>2</v>
      </c>
    </row>
    <row r="15" spans="2:15" x14ac:dyDescent="0.25">
      <c r="B15" s="6" t="s">
        <v>22</v>
      </c>
      <c r="C15" s="6" t="s">
        <v>21</v>
      </c>
      <c r="D15" s="6" t="s">
        <v>20</v>
      </c>
      <c r="E15" s="6" t="s">
        <v>14</v>
      </c>
      <c r="F15" s="6" t="s">
        <v>15</v>
      </c>
      <c r="G15" s="6" t="s">
        <v>23</v>
      </c>
      <c r="H15" s="7" t="s">
        <v>16</v>
      </c>
      <c r="I15" s="7" t="s">
        <v>17</v>
      </c>
      <c r="J15" s="6" t="s">
        <v>16</v>
      </c>
      <c r="K15" s="6" t="s">
        <v>17</v>
      </c>
      <c r="L15" s="7" t="s">
        <v>16</v>
      </c>
      <c r="M15" s="7" t="s">
        <v>17</v>
      </c>
      <c r="N15" s="6" t="s">
        <v>16</v>
      </c>
      <c r="O15" s="6" t="s">
        <v>17</v>
      </c>
    </row>
    <row r="16" spans="2:15" x14ac:dyDescent="0.25">
      <c r="B16" s="10" t="s">
        <v>29</v>
      </c>
      <c r="C16" s="10" t="s">
        <v>7</v>
      </c>
      <c r="D16" s="10" t="str">
        <f>D6&amp;" + "&amp;D7&amp;" +  "&amp;D8</f>
        <v>Firm (Auction) + Firm (Traded) +  Firm (Existing)</v>
      </c>
      <c r="E16" s="8">
        <f>E6+E7+E8</f>
        <v>45000</v>
      </c>
      <c r="F16" s="8">
        <f>F6+F7+F8</f>
        <v>55000</v>
      </c>
      <c r="G16" s="8">
        <f>G6+G7+G8</f>
        <v>105000</v>
      </c>
      <c r="H16" s="13">
        <f>E16/(E16+F16)</f>
        <v>0.45</v>
      </c>
      <c r="I16" s="13">
        <f>F16/(E16+F16)</f>
        <v>0.55000000000000004</v>
      </c>
      <c r="J16" s="9">
        <f>G16*H16</f>
        <v>47250</v>
      </c>
      <c r="K16" s="9">
        <f>G16*I16</f>
        <v>57750.000000000007</v>
      </c>
      <c r="L16" s="13">
        <f>MIN(E16,E19)/(MIN(E16,E19)+MIN(F16,F19))</f>
        <v>0.47058823529411764</v>
      </c>
      <c r="M16" s="13">
        <f>MIN(F16,F19)/(MIN(E16,E19)+MIN(F16,F19))</f>
        <v>0.52941176470588236</v>
      </c>
      <c r="N16" s="15">
        <f>G16*L16</f>
        <v>49411.76470588235</v>
      </c>
      <c r="O16" s="15">
        <f>G16*M16</f>
        <v>55588.23529411765</v>
      </c>
    </row>
    <row r="17" spans="2:15" x14ac:dyDescent="0.25">
      <c r="B17" s="10" t="s">
        <v>13</v>
      </c>
      <c r="C17" s="10" t="s">
        <v>18</v>
      </c>
      <c r="D17" s="10" t="str">
        <f>D8</f>
        <v>Firm (Existing)</v>
      </c>
      <c r="E17" s="8">
        <f>E8</f>
        <v>0</v>
      </c>
      <c r="F17" s="8">
        <f>F8</f>
        <v>0</v>
      </c>
      <c r="G17" s="8">
        <f>G8</f>
        <v>0</v>
      </c>
      <c r="H17" s="14">
        <f>H16</f>
        <v>0.45</v>
      </c>
      <c r="I17" s="14">
        <f>I16</f>
        <v>0.55000000000000004</v>
      </c>
      <c r="J17" s="9">
        <f>G17*H17</f>
        <v>0</v>
      </c>
      <c r="K17" s="9">
        <f>G17*I17</f>
        <v>0</v>
      </c>
      <c r="L17" s="14">
        <f t="shared" ref="L17:M19" si="0">L16</f>
        <v>0.47058823529411764</v>
      </c>
      <c r="M17" s="14">
        <f t="shared" si="0"/>
        <v>0.52941176470588236</v>
      </c>
      <c r="N17" s="15">
        <f t="shared" ref="N17:N19" si="1">G17*L17</f>
        <v>0</v>
      </c>
      <c r="O17" s="15">
        <f t="shared" ref="O17:O19" si="2">G17*M17</f>
        <v>0</v>
      </c>
    </row>
    <row r="18" spans="2:15" x14ac:dyDescent="0.25">
      <c r="B18" s="10" t="s">
        <v>43</v>
      </c>
      <c r="C18" s="10" t="s">
        <v>8</v>
      </c>
      <c r="D18" s="10" t="str">
        <f>"MIN("&amp;D6&amp;", "&amp;B16&amp;")"</f>
        <v>MIN(Firm (Auction), Total Firm)</v>
      </c>
      <c r="E18" s="8">
        <f t="shared" ref="E18:F18" si="3">MIN(E6, E6+E7+E8)</f>
        <v>45000</v>
      </c>
      <c r="F18" s="8">
        <f t="shared" si="3"/>
        <v>55000</v>
      </c>
      <c r="G18" s="8">
        <f>MAX(MIN(G6+G7+G8,G6+G7),0)</f>
        <v>105000</v>
      </c>
      <c r="H18" s="14">
        <f>H17</f>
        <v>0.45</v>
      </c>
      <c r="I18" s="14">
        <f>I17</f>
        <v>0.55000000000000004</v>
      </c>
      <c r="J18" s="9">
        <f>G18*H18</f>
        <v>47250</v>
      </c>
      <c r="K18" s="9">
        <f>G18*I18</f>
        <v>57750.000000000007</v>
      </c>
      <c r="L18" s="14">
        <f t="shared" si="0"/>
        <v>0.47058823529411764</v>
      </c>
      <c r="M18" s="14">
        <f t="shared" si="0"/>
        <v>0.52941176470588236</v>
      </c>
      <c r="N18" s="15">
        <f t="shared" si="1"/>
        <v>49411.76470588235</v>
      </c>
      <c r="O18" s="15">
        <f t="shared" si="2"/>
        <v>55588.23529411765</v>
      </c>
    </row>
    <row r="19" spans="2:15" x14ac:dyDescent="0.25">
      <c r="B19" s="10" t="s">
        <v>1</v>
      </c>
      <c r="C19" s="11" t="s">
        <v>9</v>
      </c>
      <c r="D19" s="11" t="s">
        <v>1</v>
      </c>
      <c r="E19" s="8">
        <f>E10</f>
        <v>40000</v>
      </c>
      <c r="F19" s="8">
        <f>F10</f>
        <v>45000</v>
      </c>
      <c r="G19" s="8">
        <f>G10</f>
        <v>90000</v>
      </c>
      <c r="H19" s="13">
        <f>E19/(E19+F19)</f>
        <v>0.47058823529411764</v>
      </c>
      <c r="I19" s="13">
        <f>F19/(E19+F19)</f>
        <v>0.52941176470588236</v>
      </c>
      <c r="J19" s="9">
        <f>G19*H19</f>
        <v>42352.941176470587</v>
      </c>
      <c r="K19" s="9">
        <f>G19*I19</f>
        <v>47647.058823529413</v>
      </c>
      <c r="L19" s="14">
        <f t="shared" si="0"/>
        <v>0.47058823529411764</v>
      </c>
      <c r="M19" s="14">
        <f t="shared" si="0"/>
        <v>0.52941176470588236</v>
      </c>
      <c r="N19" s="15">
        <f t="shared" si="1"/>
        <v>42352.941176470587</v>
      </c>
      <c r="O19" s="15">
        <f t="shared" si="2"/>
        <v>47647.058823529413</v>
      </c>
    </row>
    <row r="21" spans="2:15" x14ac:dyDescent="0.25">
      <c r="E21" t="s">
        <v>37</v>
      </c>
      <c r="G21" t="s">
        <v>36</v>
      </c>
    </row>
    <row r="22" spans="2:15" x14ac:dyDescent="0.25">
      <c r="B22" s="6" t="s">
        <v>48</v>
      </c>
      <c r="C22" s="6" t="s">
        <v>5</v>
      </c>
      <c r="D22" s="6" t="s">
        <v>20</v>
      </c>
      <c r="E22" s="6" t="s">
        <v>19</v>
      </c>
      <c r="F22" s="6" t="s">
        <v>40</v>
      </c>
      <c r="G22" s="6" t="s">
        <v>19</v>
      </c>
      <c r="H22" s="6" t="s">
        <v>40</v>
      </c>
    </row>
    <row r="23" spans="2:15" ht="18" x14ac:dyDescent="0.25">
      <c r="B23" s="7" t="s">
        <v>53</v>
      </c>
      <c r="C23" s="16" t="s">
        <v>28</v>
      </c>
      <c r="D23" s="16" t="s">
        <v>35</v>
      </c>
      <c r="E23" s="9">
        <f>MIN(J16,E16,J19,E19)</f>
        <v>40000</v>
      </c>
      <c r="F23" s="9">
        <f>MIN(K16,F16,K19,F19)</f>
        <v>45000</v>
      </c>
      <c r="G23" s="9">
        <f>MIN(N16,E16,N19,E19)</f>
        <v>40000</v>
      </c>
      <c r="H23" s="9">
        <f>MIN(O16,F16,O19,F19)</f>
        <v>45000</v>
      </c>
    </row>
    <row r="24" spans="2:15" ht="18" x14ac:dyDescent="0.25">
      <c r="B24" s="7" t="str">
        <f>"2. Consider existing capacity holding, "&amp;D24</f>
        <v>2. Consider existing capacity holding, ECEn</v>
      </c>
      <c r="C24" s="16" t="s">
        <v>51</v>
      </c>
      <c r="D24" s="16" t="s">
        <v>51</v>
      </c>
      <c r="E24" s="9">
        <f>J17</f>
        <v>0</v>
      </c>
      <c r="F24" s="9">
        <f>K17</f>
        <v>0</v>
      </c>
      <c r="G24" s="9">
        <f>N17</f>
        <v>0</v>
      </c>
      <c r="H24" s="9">
        <f>O17</f>
        <v>0</v>
      </c>
    </row>
    <row r="25" spans="2:15" ht="18" x14ac:dyDescent="0.25">
      <c r="B25" s="7" t="s">
        <v>24</v>
      </c>
      <c r="C25" s="16" t="s">
        <v>25</v>
      </c>
      <c r="D25" s="16" t="s">
        <v>34</v>
      </c>
      <c r="E25" s="8">
        <f>MAX(E23-E24,0)</f>
        <v>40000</v>
      </c>
      <c r="F25" s="8">
        <f>MAX(F23-F24,0)</f>
        <v>45000</v>
      </c>
      <c r="G25" s="8">
        <f>MAX(G23-G24,0)</f>
        <v>40000</v>
      </c>
      <c r="H25" s="8">
        <f>MAX(H23-H24,0)</f>
        <v>45000</v>
      </c>
    </row>
    <row r="26" spans="2:15" ht="18" x14ac:dyDescent="0.25">
      <c r="B26" s="7" t="s">
        <v>44</v>
      </c>
      <c r="C26" s="16" t="s">
        <v>46</v>
      </c>
      <c r="D26" s="18" t="s">
        <v>39</v>
      </c>
      <c r="E26" s="9">
        <f>J18</f>
        <v>47250</v>
      </c>
      <c r="F26" s="9">
        <f>K18</f>
        <v>57750.000000000007</v>
      </c>
      <c r="G26" s="9">
        <f>N18</f>
        <v>49411.76470588235</v>
      </c>
      <c r="H26" s="9">
        <f>O18</f>
        <v>55588.23529411765</v>
      </c>
    </row>
    <row r="27" spans="2:15" ht="18" x14ac:dyDescent="0.25">
      <c r="B27" s="7" t="s">
        <v>45</v>
      </c>
      <c r="C27" s="16" t="s">
        <v>47</v>
      </c>
      <c r="D27" s="18" t="s">
        <v>39</v>
      </c>
      <c r="E27" s="9">
        <f>E18</f>
        <v>45000</v>
      </c>
      <c r="F27" s="9">
        <f>F18</f>
        <v>55000</v>
      </c>
      <c r="G27" s="9">
        <f>E18</f>
        <v>45000</v>
      </c>
      <c r="H27" s="9">
        <f>F18</f>
        <v>55000</v>
      </c>
    </row>
    <row r="28" spans="2:15" ht="18" x14ac:dyDescent="0.25">
      <c r="B28" s="7" t="s">
        <v>30</v>
      </c>
      <c r="C28" s="16" t="s">
        <v>26</v>
      </c>
      <c r="D28" s="16" t="s">
        <v>27</v>
      </c>
      <c r="E28" s="17">
        <f>MIN(E25,E26)</f>
        <v>40000</v>
      </c>
      <c r="F28" s="17">
        <f>MIN(F25,F26)</f>
        <v>45000</v>
      </c>
      <c r="G28" s="15">
        <f>MIN(G25,G26)</f>
        <v>40000</v>
      </c>
      <c r="H28" s="15">
        <f>MIN(H25,H26)</f>
        <v>45000</v>
      </c>
    </row>
    <row r="29" spans="2:15" ht="18" x14ac:dyDescent="0.25">
      <c r="B29" s="7" t="s">
        <v>31</v>
      </c>
      <c r="C29" s="16" t="s">
        <v>32</v>
      </c>
      <c r="D29" s="16" t="s">
        <v>33</v>
      </c>
      <c r="E29" s="17">
        <f>MIN(E23,E27)</f>
        <v>40000</v>
      </c>
      <c r="F29" s="17">
        <f>MIN(F23,F27)</f>
        <v>45000</v>
      </c>
      <c r="G29" s="15">
        <f>MIN(G23,G27)</f>
        <v>40000</v>
      </c>
      <c r="H29" s="15">
        <f>MIN(H23,H27)</f>
        <v>45000</v>
      </c>
    </row>
    <row r="33" spans="2:2" x14ac:dyDescent="0.25">
      <c r="B33" t="s">
        <v>42</v>
      </c>
    </row>
    <row r="34" spans="2:2" x14ac:dyDescent="0.25">
      <c r="B34" t="s">
        <v>41</v>
      </c>
    </row>
    <row r="35" spans="2:2" x14ac:dyDescent="0.25">
      <c r="B35" t="s">
        <v>49</v>
      </c>
    </row>
    <row r="36" spans="2:2" x14ac:dyDescent="0.25">
      <c r="B36" t="s">
        <v>52</v>
      </c>
    </row>
    <row r="37" spans="2:2" x14ac:dyDescent="0.25">
      <c r="B37" t="s">
        <v>50</v>
      </c>
    </row>
  </sheetData>
  <mergeCells count="2">
    <mergeCell ref="B6:C9"/>
    <mergeCell ref="B10:D10"/>
  </mergeCells>
  <conditionalFormatting sqref="N16:O19">
    <cfRule type="cellIs" dxfId="2" priority="9" operator="equal">
      <formula>J16</formula>
    </cfRule>
  </conditionalFormatting>
  <conditionalFormatting sqref="G29:H29">
    <cfRule type="cellIs" dxfId="1" priority="2" operator="equal">
      <formula>E29</formula>
    </cfRule>
  </conditionalFormatting>
  <conditionalFormatting sqref="G28:H28">
    <cfRule type="cellIs" dxfId="0" priority="1" operator="equal">
      <formula>E28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UNC823 Example</vt:lpstr>
      <vt:lpstr>Example 5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Jauss, L</dc:creator>
  <cp:lastModifiedBy>Jauss, L</cp:lastModifiedBy>
  <dcterms:created xsi:type="dcterms:W3CDTF">2022-10-13T08:38:39Z</dcterms:created>
  <dcterms:modified xsi:type="dcterms:W3CDTF">2022-10-21T13:03:41Z</dcterms:modified>
</cp:coreProperties>
</file>