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ashley_adams_uk_nationalgrid_com/Documents/GMCD/Charging/GNTS/0857 Target Revenue Determination Mod/"/>
    </mc:Choice>
  </mc:AlternateContent>
  <xr:revisionPtr revIDLastSave="9" documentId="8_{7FD1919B-94A6-4343-B918-01AF83D92EC1}" xr6:coauthVersionLast="47" xr6:coauthVersionMax="47" xr10:uidLastSave="{C61EECF1-F458-495A-B37C-FD58ED170D77}"/>
  <bookViews>
    <workbookView xWindow="-110" yWindow="-110" windowWidth="19420" windowHeight="10420" tabRatio="871" activeTab="1" xr2:uid="{00000000-000D-0000-FFFF-FFFF00000000}"/>
  </bookViews>
  <sheets>
    <sheet name="GNonTx Charges" sheetId="1" r:id="rId1"/>
    <sheet name="0857 MAR" sheetId="4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E4" i="4" l="1"/>
  <c r="F4" i="4" l="1"/>
  <c r="G4" i="4" l="1"/>
  <c r="D6" i="4"/>
  <c r="E6" i="4"/>
  <c r="F6" i="4"/>
  <c r="G6" i="4" l="1"/>
  <c r="G10" i="4" l="1"/>
  <c r="K15" i="4" s="1"/>
  <c r="M15" i="4" s="1"/>
  <c r="F10" i="4"/>
  <c r="I15" i="4" s="1"/>
  <c r="E10" i="4"/>
  <c r="G15" i="4" s="1"/>
  <c r="D10" i="4"/>
  <c r="E15" i="4" s="1"/>
  <c r="C10" i="4"/>
  <c r="C15" i="4" l="1"/>
  <c r="H13" i="1" l="1"/>
  <c r="G13" i="1"/>
  <c r="F13" i="1"/>
  <c r="E13" i="1"/>
  <c r="D13" i="1" l="1"/>
  <c r="D18" i="4" l="1"/>
  <c r="D14" i="4"/>
  <c r="E14" i="4"/>
  <c r="F14" i="4"/>
  <c r="G14" i="4"/>
  <c r="H14" i="4"/>
  <c r="I14" i="4"/>
  <c r="J14" i="4"/>
  <c r="K14" i="4"/>
  <c r="L14" i="4"/>
  <c r="M14" i="4"/>
  <c r="E16" i="4"/>
  <c r="G16" i="4"/>
  <c r="I16" i="4"/>
  <c r="K16" i="4"/>
  <c r="M16" i="4"/>
  <c r="E17" i="4"/>
  <c r="G17" i="4"/>
  <c r="I17" i="4"/>
  <c r="K17" i="4"/>
  <c r="M17" i="4"/>
  <c r="E18" i="4"/>
  <c r="F18" i="4"/>
  <c r="G18" i="4"/>
  <c r="H18" i="4"/>
  <c r="I18" i="4"/>
  <c r="J18" i="4"/>
  <c r="K18" i="4"/>
  <c r="L18" i="4"/>
  <c r="M18" i="4"/>
  <c r="D19" i="4"/>
  <c r="F19" i="4"/>
  <c r="H19" i="4"/>
  <c r="J19" i="4"/>
  <c r="L19" i="4"/>
  <c r="D20" i="4"/>
  <c r="E20" i="4"/>
  <c r="F20" i="4"/>
  <c r="G20" i="4"/>
  <c r="H20" i="4"/>
  <c r="I20" i="4"/>
  <c r="J20" i="4"/>
  <c r="K20" i="4"/>
  <c r="L20" i="4"/>
  <c r="C21" i="4"/>
  <c r="E21" i="4"/>
  <c r="G21" i="4"/>
  <c r="I21" i="4"/>
  <c r="K21" i="4"/>
  <c r="C22" i="4"/>
  <c r="E22" i="4"/>
  <c r="G22" i="4"/>
  <c r="I22" i="4"/>
  <c r="K22" i="4"/>
  <c r="D24" i="4"/>
  <c r="E24" i="4"/>
  <c r="F24" i="4"/>
  <c r="G24" i="4"/>
  <c r="H24" i="4"/>
  <c r="I24" i="4"/>
  <c r="J24" i="4"/>
  <c r="K24" i="4"/>
  <c r="D27" i="4"/>
  <c r="F27" i="4"/>
  <c r="H27" i="4"/>
  <c r="J27" i="4"/>
  <c r="D28" i="4"/>
  <c r="E28" i="4"/>
  <c r="F28" i="4"/>
  <c r="G28" i="4"/>
  <c r="H28" i="4"/>
  <c r="I28" i="4"/>
  <c r="J28" i="4"/>
  <c r="K28" i="4"/>
  <c r="D5" i="1"/>
  <c r="E5" i="1"/>
  <c r="F5" i="1"/>
  <c r="G5" i="1"/>
  <c r="H5" i="1"/>
  <c r="D9" i="1"/>
  <c r="E9" i="1"/>
  <c r="F9" i="1"/>
  <c r="G9" i="1"/>
  <c r="H9" i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<sst xmlns="http://schemas.openxmlformats.org/spreadsheetml/2006/main" count="80" uniqueCount="52">
  <si>
    <t>G-Non TX Charges</t>
  </si>
  <si>
    <t>Future Year Indicatives</t>
  </si>
  <si>
    <t xml:space="preserve"> </t>
  </si>
  <si>
    <t>DN Pension Adjust</t>
  </si>
  <si>
    <t>SO Capacity Adjust</t>
  </si>
  <si>
    <t>Non Transmission Services Target Revenue</t>
  </si>
  <si>
    <t>Non Transmission Services Entry &amp; Exit Revenue</t>
  </si>
  <si>
    <t>Total</t>
  </si>
  <si>
    <t>Non Transmission Unit Cost</t>
  </si>
  <si>
    <t>23/24</t>
  </si>
  <si>
    <t>24/25</t>
  </si>
  <si>
    <t>25/26</t>
  </si>
  <si>
    <t>SO MAR</t>
  </si>
  <si>
    <t>Meter Maint. Adjust</t>
  </si>
  <si>
    <t>Non Tx Service Rev</t>
  </si>
  <si>
    <t>Apr-Sep</t>
  </si>
  <si>
    <t>Oct - Mar</t>
  </si>
  <si>
    <t>Forecast Revenue</t>
  </si>
  <si>
    <t>Y+1</t>
  </si>
  <si>
    <t>Y+2</t>
  </si>
  <si>
    <t>Y+3</t>
  </si>
  <si>
    <t>Y+4</t>
  </si>
  <si>
    <t>OCTOBER (Y)</t>
  </si>
  <si>
    <t>26/27</t>
  </si>
  <si>
    <t>Apr - Sep</t>
  </si>
  <si>
    <t>Y</t>
  </si>
  <si>
    <t>SOK &amp; SLK</t>
  </si>
  <si>
    <t>Derived K</t>
  </si>
  <si>
    <t>27/28</t>
  </si>
  <si>
    <t>28/29</t>
  </si>
  <si>
    <t>St Fergus Compression Revenue (Annual)</t>
  </si>
  <si>
    <t>NTS Metering Revenue Expected (Annual)</t>
  </si>
  <si>
    <t>DN Pensions Deficit Revenue (Annual)</t>
  </si>
  <si>
    <t>Sum of Entry (GY Annual)</t>
  </si>
  <si>
    <t>Sum of Exit (GY Annual)</t>
  </si>
  <si>
    <t>Revised 6 monthly Target</t>
  </si>
  <si>
    <t>Forecast Revenue (FY)</t>
  </si>
  <si>
    <t>Revenue Variance (FY)</t>
  </si>
  <si>
    <t>GnonTx Allowed Revenue (FY)</t>
  </si>
  <si>
    <t>Revised GnonTx Target</t>
  </si>
  <si>
    <t>Seasonal Allocaton Factor</t>
  </si>
  <si>
    <t>Revised Target Revenue (GY)</t>
  </si>
  <si>
    <t>FRY</t>
  </si>
  <si>
    <t xml:space="preserve">Y+1   </t>
  </si>
  <si>
    <t>Y+5</t>
  </si>
  <si>
    <t>Seasonal Allocation Factor Rev. Calc.</t>
  </si>
  <si>
    <t>Gnon Tx GY Target Revenue</t>
  </si>
  <si>
    <t>GnTx Revenue</t>
  </si>
  <si>
    <t>St Fergus</t>
  </si>
  <si>
    <t>Metering</t>
  </si>
  <si>
    <t>Forecast Flow</t>
  </si>
  <si>
    <t>Gas Year GnTx Annual Charge Model 0857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</si>
</sst>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_-* #,##0.000_-;\-* #,##0.000_-;_-* &quot;-&quot;??_-;_-@_-"/>
    <numFmt numFmtId="167" formatCode="0.000"/>
    <numFmt numFmtId="168" formatCode="&quot;£&quot;#,##0"/>
    <numFmt numFmtId="169" formatCode="#,##0_ ;\-#,##0\ "/>
    <numFmt numFmtId="170" formatCode="#,##0.0000"/>
    <numFmt numFmtId="171" formatCode="&quot;£&quot;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enorite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0" xfId="0" applyNumberFormat="1"/>
    <xf numFmtId="167" fontId="2" fillId="2" borderId="3" xfId="1" applyNumberFormat="1" applyFont="1" applyFill="1" applyBorder="1" applyAlignment="1">
      <alignment horizontal="center" vertical="center"/>
    </xf>
    <xf numFmtId="167" fontId="3" fillId="3" borderId="3" xfId="1" applyNumberFormat="1" applyFont="1" applyFill="1" applyBorder="1" applyAlignment="1">
      <alignment horizontal="center" vertical="center"/>
    </xf>
    <xf numFmtId="167" fontId="4" fillId="2" borderId="3" xfId="1" applyNumberFormat="1" applyFont="1" applyFill="1" applyBorder="1" applyAlignment="1">
      <alignment horizontal="center" vertical="center"/>
    </xf>
    <xf numFmtId="167" fontId="0" fillId="3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0" fillId="3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left" vertical="center" wrapText="1"/>
    </xf>
    <xf numFmtId="167" fontId="0" fillId="4" borderId="3" xfId="0" applyNumberForma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0" fillId="0" borderId="3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 vertical="center"/>
    </xf>
    <xf numFmtId="167" fontId="0" fillId="0" borderId="7" xfId="0" applyNumberForma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0" fillId="0" borderId="9" xfId="0" applyNumberFormat="1" applyFill="1" applyBorder="1" applyAlignment="1">
      <alignment horizontal="center" vertical="center"/>
    </xf>
    <xf numFmtId="167" fontId="12" fillId="0" borderId="1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7" fontId="0" fillId="0" borderId="5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7" fontId="3" fillId="5" borderId="3" xfId="0" applyNumberFormat="1" applyFont="1" applyFill="1" applyBorder="1" applyAlignment="1">
      <alignment horizontal="center" vertical="center"/>
    </xf>
    <xf numFmtId="167" fontId="3" fillId="5" borderId="5" xfId="0" applyNumberFormat="1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0" borderId="6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69" fontId="0" fillId="0" borderId="3" xfId="1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Border="1"/>
    <xf numFmtId="170" fontId="0" fillId="0" borderId="0" xfId="0" applyNumberFormat="1" applyBorder="1"/>
    <xf numFmtId="168" fontId="0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171" fontId="0" fillId="0" borderId="0" xfId="0" applyNumberFormat="1" applyBorder="1"/>
    <xf numFmtId="167" fontId="0" fillId="0" borderId="0" xfId="0" applyNumberFormat="1" applyBorder="1"/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0" fillId="0" borderId="5" xfId="0" applyNumberForma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7" fontId="0" fillId="4" borderId="5" xfId="0" applyNumberFormat="1" applyFill="1" applyBorder="1" applyAlignment="1">
      <alignment horizontal="center" vertical="center"/>
    </xf>
    <xf numFmtId="167" fontId="0" fillId="4" borderId="6" xfId="0" applyNumberFormat="1" applyFill="1" applyBorder="1" applyAlignment="1">
      <alignment horizontal="center" vertical="center"/>
    </xf>
    <xf numFmtId="167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7" fontId="0" fillId="3" borderId="6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Style 1 2 2 2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453572</xdr:colOff>
      <xdr:row>2</xdr:row>
      <xdr:rowOff>45357</xdr:rowOff>
    </xdr:from>
    <xdr:to>
      <xdr:col>13</xdr:col>
      <xdr:colOff>580571</xdr:colOff>
      <xdr:row>5</xdr:row>
      <xdr:rowOff>45356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132325-EF38-4CCF-9E5C-7F0C1C643859}"/>
            </a:ext>
          </a:extLst>
        </xdr:cNvPr>
        <xdr:cNvSpPr txBox="1"/>
      </xdr:nvSpPr>
      <xdr:spPr>
        <a:xfrm>
          <a:off x="8354786" y="426357"/>
          <a:ext cx="6658428" cy="925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In order for the iterative calculation of derived K to work correctly you must enable iterative calculations on your device. To do this select </a:t>
          </a:r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</a:t>
          </a:r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Options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</a:t>
          </a:r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Formulas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In the </a:t>
          </a:r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Calculation options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section, select the </a:t>
          </a:r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Enable iterative calculations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check box.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N19"/>
  <sheetViews>
    <sheetView topLeftCell="A10" zoomScaleNormal="100" workbookViewId="0">
      <selection activeCell="G21" sqref="G21"/>
    </sheetView>
  </sheetViews>
  <sheetFormatPr defaultColWidth="9.1796875" defaultRowHeight="24" customHeight="1" x14ac:dyDescent="0.35"/>
  <cols>
    <col min="1" max="1" width="1.7265625" style="1" customWidth="1"/>
    <col min="2" max="2" width="44.26953125" style="9" customWidth="1"/>
    <col min="3" max="3" width="12.6328125" style="1" customWidth="1"/>
    <col min="4" max="8" width="18.6328125" style="1" customWidth="1"/>
    <col min="9" max="11" width="12.7265625" style="1" customWidth="1"/>
    <col min="12" max="12" width="13.26953125" style="1" bestFit="1" customWidth="1"/>
    <col min="13" max="14" width="12.7265625" style="1" customWidth="1"/>
    <col min="15" max="16384" width="9.1796875" style="1"/>
  </cols>
  <sheetData>
    <row r="1" spans="2:14" ht="6" customHeight="1" x14ac:dyDescent="0.35"/>
    <row r="2" spans="2:14" ht="24" customHeight="1" x14ac:dyDescent="0.35">
      <c r="B2" s="76" t="s">
        <v>51</v>
      </c>
      <c r="D2" s="21" t="s">
        <v>0</v>
      </c>
      <c r="E2" s="87" t="s">
        <v>1</v>
      </c>
      <c r="F2" s="88"/>
      <c r="G2" s="88"/>
      <c r="H2" s="89"/>
      <c r="I2" s="13"/>
    </row>
    <row r="3" spans="2:14" ht="24" customHeight="1" x14ac:dyDescent="0.35">
      <c r="B3" s="9" t="s">
        <v>2</v>
      </c>
      <c r="D3" s="37" t="s">
        <v>22</v>
      </c>
      <c r="E3" s="22" t="s">
        <v>18</v>
      </c>
      <c r="F3" s="22" t="s">
        <v>19</v>
      </c>
      <c r="G3" s="22" t="s">
        <v>20</v>
      </c>
      <c r="H3" s="22" t="s">
        <v>21</v>
      </c>
      <c r="I3" s="14"/>
    </row>
    <row r="4" spans="2:14" s="4" customFormat="1" ht="24" customHeight="1" x14ac:dyDescent="0.35">
      <c r="B4" s="10"/>
      <c r="C4" s="65" t="s">
        <v>9</v>
      </c>
      <c r="D4" s="7" t="s">
        <v>10</v>
      </c>
      <c r="E4" s="8" t="s">
        <v>11</v>
      </c>
      <c r="F4" s="8" t="s">
        <v>23</v>
      </c>
      <c r="G4" s="8" t="s">
        <v>28</v>
      </c>
      <c r="H4" s="8" t="s">
        <v>29</v>
      </c>
      <c r="I4" s="15"/>
    </row>
    <row r="5" spans="2:14" s="4" customFormat="1" ht="24" customHeight="1" x14ac:dyDescent="0.35">
      <c r="B5" s="12" t="s">
        <v>5</v>
      </c>
      <c r="C5" s="72"/>
      <c r="D5" s="28">
        <f ca="1">'0857 MAR'!D19</f>
        <v>279.53518841966513</v>
      </c>
      <c r="E5" s="29">
        <f ca="1">'0857 MAR'!F19</f>
        <v>416.16707595678656</v>
      </c>
      <c r="F5" s="29">
        <f ca="1">'0857 MAR'!H19</f>
        <v>410.0014631077114</v>
      </c>
      <c r="G5" s="29">
        <f ca="1">'0857 MAR'!J19</f>
        <v>430.70980699584584</v>
      </c>
      <c r="H5" s="29">
        <f ca="1">'0857 MAR'!L19</f>
        <v>441.09680670852936</v>
      </c>
      <c r="I5" s="17"/>
    </row>
    <row r="6" spans="2:14" ht="24" customHeight="1" x14ac:dyDescent="0.35">
      <c r="B6" s="11" t="s">
        <v>30</v>
      </c>
      <c r="C6" s="73"/>
      <c r="D6" s="30">
        <v>-24.629419935652926</v>
      </c>
      <c r="E6" s="31">
        <v>-24.629419935652926</v>
      </c>
      <c r="F6" s="31">
        <v>-24.629419935652926</v>
      </c>
      <c r="G6" s="31">
        <v>-24.629419935652926</v>
      </c>
      <c r="H6" s="31">
        <v>-24.629419935652926</v>
      </c>
      <c r="I6" s="16"/>
      <c r="J6" s="1" t="s">
        <v>2</v>
      </c>
    </row>
    <row r="7" spans="2:14" ht="24" customHeight="1" x14ac:dyDescent="0.35">
      <c r="B7" s="11" t="s">
        <v>31</v>
      </c>
      <c r="C7" s="73"/>
      <c r="D7" s="30">
        <v>-1.8816703594965984</v>
      </c>
      <c r="E7" s="31">
        <v>-1.9381204702814963</v>
      </c>
      <c r="F7" s="31">
        <v>-1.9962640843899411</v>
      </c>
      <c r="G7" s="31">
        <v>-2.0561520069216392</v>
      </c>
      <c r="H7" s="31">
        <v>-2.0561520069216392</v>
      </c>
      <c r="I7" s="16"/>
      <c r="K7" s="25"/>
    </row>
    <row r="8" spans="2:14" ht="24" customHeight="1" x14ac:dyDescent="0.35">
      <c r="B8" s="11" t="s">
        <v>32</v>
      </c>
      <c r="C8" s="73"/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16"/>
    </row>
    <row r="9" spans="2:14" ht="24" customHeight="1" x14ac:dyDescent="0.35">
      <c r="B9" s="12" t="s">
        <v>6</v>
      </c>
      <c r="C9" s="74"/>
      <c r="D9" s="28">
        <f ca="1">SUM(D5+D6+D7+D8)</f>
        <v>253.0240981245156</v>
      </c>
      <c r="E9" s="29">
        <f ca="1">SUM(E5+E6+E7+E8)</f>
        <v>389.59953555085212</v>
      </c>
      <c r="F9" s="29">
        <f ca="1">SUM(F5+F6+F7+F8)</f>
        <v>383.37577908766849</v>
      </c>
      <c r="G9" s="29">
        <f ca="1">SUM(G5+G6+G7+G8)</f>
        <v>404.02423505327124</v>
      </c>
      <c r="H9" s="29">
        <f ca="1">SUM(H5+H6+H7+H8)</f>
        <v>414.41123476595476</v>
      </c>
      <c r="I9" s="17"/>
      <c r="K9" s="25"/>
    </row>
    <row r="10" spans="2:14" ht="6" customHeight="1" x14ac:dyDescent="0.35">
      <c r="B10" s="71"/>
      <c r="C10" s="63"/>
      <c r="D10" s="64"/>
      <c r="E10" s="36"/>
      <c r="F10" s="36"/>
      <c r="G10" s="36"/>
      <c r="H10" s="53"/>
      <c r="I10" s="14"/>
    </row>
    <row r="11" spans="2:14" ht="24" customHeight="1" x14ac:dyDescent="0.35">
      <c r="B11" s="11" t="s">
        <v>33</v>
      </c>
      <c r="C11" s="75"/>
      <c r="D11" s="32">
        <v>794600.82305728004</v>
      </c>
      <c r="E11" s="33">
        <v>779475.46779312997</v>
      </c>
      <c r="F11" s="33">
        <v>767793.27885377011</v>
      </c>
      <c r="G11" s="33">
        <v>759115.32578806998</v>
      </c>
      <c r="H11" s="33">
        <v>759115.32578806998</v>
      </c>
      <c r="I11" s="18"/>
    </row>
    <row r="12" spans="2:14" ht="24" customHeight="1" x14ac:dyDescent="0.35">
      <c r="B12" s="11" t="s">
        <v>34</v>
      </c>
      <c r="C12" s="73"/>
      <c r="D12" s="32">
        <v>788158.26549908007</v>
      </c>
      <c r="E12" s="33">
        <v>773032.91023492999</v>
      </c>
      <c r="F12" s="33">
        <v>761350.72129557002</v>
      </c>
      <c r="G12" s="33">
        <v>752672.76822986989</v>
      </c>
      <c r="H12" s="33">
        <v>752672.76822986989</v>
      </c>
      <c r="I12" s="18"/>
    </row>
    <row r="13" spans="2:14" ht="24" customHeight="1" x14ac:dyDescent="0.35">
      <c r="B13" s="12" t="s">
        <v>7</v>
      </c>
      <c r="C13" s="74"/>
      <c r="D13" s="34">
        <f>SUM(D11:D12)</f>
        <v>1582759.08855636</v>
      </c>
      <c r="E13" s="35">
        <f t="shared" ref="E13:H13" si="0">SUM(E11:E12)</f>
        <v>1552508.3780280598</v>
      </c>
      <c r="F13" s="35">
        <f t="shared" si="0"/>
        <v>1529144.0001493401</v>
      </c>
      <c r="G13" s="35">
        <f t="shared" si="0"/>
        <v>1511788.0940179399</v>
      </c>
      <c r="H13" s="35">
        <f t="shared" si="0"/>
        <v>1511788.0940179399</v>
      </c>
      <c r="I13" s="19"/>
      <c r="M13" s="19"/>
      <c r="N13" s="41"/>
    </row>
    <row r="14" spans="2:14" ht="6" customHeight="1" x14ac:dyDescent="0.35">
      <c r="B14" s="71"/>
      <c r="C14" s="63"/>
      <c r="D14" s="64"/>
      <c r="E14" s="36"/>
      <c r="F14" s="36"/>
      <c r="G14" s="36"/>
      <c r="H14" s="53"/>
      <c r="I14" s="14"/>
    </row>
    <row r="15" spans="2:14" s="4" customFormat="1" ht="24" customHeight="1" x14ac:dyDescent="0.35">
      <c r="B15" s="12" t="s">
        <v>8</v>
      </c>
      <c r="C15" s="66">
        <v>5.33E-2</v>
      </c>
      <c r="D15" s="5">
        <f ca="1">ROUND(D9/D13*100,4)</f>
        <v>1.6E-2</v>
      </c>
      <c r="E15" s="6">
        <f t="shared" ref="E15:H15" ca="1" si="1">ROUND(E9/E13*100,4)</f>
        <v>2.5100000000000001E-2</v>
      </c>
      <c r="F15" s="6">
        <f t="shared" ca="1" si="1"/>
        <v>2.5100000000000001E-2</v>
      </c>
      <c r="G15" s="6">
        <f t="shared" ca="1" si="1"/>
        <v>2.6700000000000002E-2</v>
      </c>
      <c r="H15" s="6">
        <f t="shared" ca="1" si="1"/>
        <v>2.7400000000000001E-2</v>
      </c>
      <c r="I15" s="20"/>
    </row>
    <row r="16" spans="2:14" ht="6" customHeight="1" x14ac:dyDescent="0.35">
      <c r="C16" s="63"/>
    </row>
    <row r="17" spans="2:8" ht="24" customHeight="1" x14ac:dyDescent="0.35">
      <c r="B17" s="42"/>
      <c r="C17" s="13"/>
      <c r="D17" s="43"/>
      <c r="E17" s="20"/>
      <c r="F17" s="20"/>
      <c r="G17" s="20"/>
      <c r="H17" s="20"/>
    </row>
    <row r="19" spans="2:8" ht="24" customHeight="1" x14ac:dyDescent="0.35">
      <c r="D19" s="80"/>
    </row>
  </sheetData>
  <mergeCells count="1">
    <mergeCell ref="E2:H2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1:P35"/>
  <sheetViews>
    <sheetView tabSelected="1" topLeftCell="A3" zoomScale="70" zoomScaleNormal="70" workbookViewId="0">
      <selection activeCell="O10" sqref="O10"/>
    </sheetView>
  </sheetViews>
  <sheetFormatPr defaultRowHeight="24" customHeight="1" x14ac:dyDescent="0.35"/>
  <cols>
    <col min="2" max="2" width="26.453125" bestFit="1" customWidth="1"/>
    <col min="3" max="14" width="15.6328125" customWidth="1"/>
    <col min="16" max="16" width="25.81640625" customWidth="1"/>
  </cols>
  <sheetData>
    <row r="1" spans="2:16" ht="6" customHeight="1" x14ac:dyDescent="0.35"/>
    <row r="2" spans="2:16" ht="24" customHeight="1" x14ac:dyDescent="0.35">
      <c r="C2" s="21" t="s">
        <v>25</v>
      </c>
      <c r="D2" s="22" t="s">
        <v>43</v>
      </c>
      <c r="E2" s="22" t="s">
        <v>19</v>
      </c>
      <c r="F2" s="23" t="s">
        <v>20</v>
      </c>
      <c r="G2" s="23" t="s">
        <v>21</v>
      </c>
    </row>
    <row r="3" spans="2:16" ht="24" customHeight="1" x14ac:dyDescent="0.35">
      <c r="C3" s="21" t="s">
        <v>10</v>
      </c>
      <c r="D3" s="22" t="s">
        <v>11</v>
      </c>
      <c r="E3" s="22" t="s">
        <v>23</v>
      </c>
      <c r="F3" s="23" t="s">
        <v>28</v>
      </c>
      <c r="G3" s="23" t="s">
        <v>29</v>
      </c>
    </row>
    <row r="4" spans="2:16" ht="24" customHeight="1" x14ac:dyDescent="0.35">
      <c r="B4" s="3" t="s">
        <v>12</v>
      </c>
      <c r="C4" s="60">
        <v>392.89349365906105</v>
      </c>
      <c r="D4" s="60">
        <v>408.53656719214752</v>
      </c>
      <c r="E4" s="61">
        <f>D4*1.03</f>
        <v>420.79266420791197</v>
      </c>
      <c r="F4" s="61">
        <f t="shared" ref="F4:G4" si="0">E4*1.03</f>
        <v>433.41644413414934</v>
      </c>
      <c r="G4" s="60">
        <f t="shared" si="0"/>
        <v>446.41893745817384</v>
      </c>
    </row>
    <row r="5" spans="2:16" ht="24" customHeight="1" thickBot="1" x14ac:dyDescent="0.4">
      <c r="B5" s="54" t="s">
        <v>26</v>
      </c>
      <c r="C5" s="62">
        <v>-100</v>
      </c>
      <c r="D5" s="62">
        <v>0</v>
      </c>
      <c r="E5" s="46"/>
      <c r="F5" s="46"/>
      <c r="G5" s="46"/>
    </row>
    <row r="6" spans="2:16" ht="24" customHeight="1" thickTop="1" thickBot="1" x14ac:dyDescent="0.4">
      <c r="B6" s="13"/>
      <c r="C6" s="50">
        <f>SUM(C4-C5)</f>
        <v>492.89349365906105</v>
      </c>
      <c r="D6" s="48">
        <f>SUM(D4-D5)</f>
        <v>408.53656719214752</v>
      </c>
      <c r="E6" s="48">
        <f>SUM(E4-E5)</f>
        <v>420.79266420791197</v>
      </c>
      <c r="F6" s="48">
        <f>SUM(F4-F5)</f>
        <v>433.41644413414934</v>
      </c>
      <c r="G6" s="48">
        <f>SUM(G4-G5)</f>
        <v>446.41893745817384</v>
      </c>
      <c r="H6" t="s">
        <v>2</v>
      </c>
      <c r="I6" t="s">
        <v>2</v>
      </c>
    </row>
    <row r="7" spans="2:16" ht="24" customHeight="1" thickTop="1" x14ac:dyDescent="0.35">
      <c r="B7" s="55" t="s">
        <v>3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J7" s="26"/>
    </row>
    <row r="8" spans="2:16" ht="24" customHeight="1" x14ac:dyDescent="0.35">
      <c r="B8" s="55" t="s">
        <v>13</v>
      </c>
      <c r="C8" s="36">
        <v>1.8537873659646911</v>
      </c>
      <c r="D8" s="36">
        <v>1.9094009869436319</v>
      </c>
      <c r="E8" s="36">
        <v>1.9666830165519409</v>
      </c>
      <c r="F8" s="36">
        <v>2.0256835070484991</v>
      </c>
      <c r="G8" s="36">
        <v>2.0864540122599542</v>
      </c>
    </row>
    <row r="9" spans="2:16" ht="24" customHeight="1" thickBot="1" x14ac:dyDescent="0.4">
      <c r="B9" s="56" t="s">
        <v>4</v>
      </c>
      <c r="C9" s="49">
        <v>-12.112591092000004</v>
      </c>
      <c r="D9" s="49">
        <v>-12.112591092000004</v>
      </c>
      <c r="E9" s="49">
        <v>-12.112591092000004</v>
      </c>
      <c r="F9" s="49">
        <v>-12.112591092000004</v>
      </c>
      <c r="G9" s="49">
        <v>-12.112591092000004</v>
      </c>
      <c r="J9" s="27"/>
    </row>
    <row r="10" spans="2:16" ht="24" customHeight="1" thickTop="1" thickBot="1" x14ac:dyDescent="0.4">
      <c r="B10" s="57" t="s">
        <v>14</v>
      </c>
      <c r="C10" s="50">
        <f>SUM(C6+C7+C8+C9)</f>
        <v>482.63468993302575</v>
      </c>
      <c r="D10" s="50">
        <f>SUM(D6+D7+D8+D9)</f>
        <v>398.33337708709115</v>
      </c>
      <c r="E10" s="50">
        <f>SUM(E6+E7+E8+E9)</f>
        <v>410.64675613246391</v>
      </c>
      <c r="F10" s="50">
        <f>SUM(F6+F7+F8+F9)</f>
        <v>423.32953654919783</v>
      </c>
      <c r="G10" s="50">
        <f>SUM(G6+G7+G8+G9)</f>
        <v>436.39280037843378</v>
      </c>
    </row>
    <row r="11" spans="2:16" ht="18" customHeight="1" thickTop="1" x14ac:dyDescent="0.35"/>
    <row r="12" spans="2:16" s="24" customFormat="1" ht="24" customHeight="1" x14ac:dyDescent="0.35">
      <c r="B12" s="3" t="s">
        <v>46</v>
      </c>
      <c r="C12" s="105" t="s">
        <v>25</v>
      </c>
      <c r="D12" s="105"/>
      <c r="E12" s="106" t="s">
        <v>18</v>
      </c>
      <c r="F12" s="106"/>
      <c r="G12" s="106" t="s">
        <v>19</v>
      </c>
      <c r="H12" s="106"/>
      <c r="I12" s="106" t="s">
        <v>20</v>
      </c>
      <c r="J12" s="106"/>
      <c r="K12" s="106" t="s">
        <v>21</v>
      </c>
      <c r="L12" s="106"/>
      <c r="M12" s="103" t="s">
        <v>44</v>
      </c>
      <c r="N12" s="104"/>
      <c r="O12" s="9"/>
    </row>
    <row r="13" spans="2:16" s="24" customFormat="1" ht="24" customHeight="1" x14ac:dyDescent="0.35">
      <c r="B13" s="38"/>
      <c r="C13" s="51" t="s">
        <v>15</v>
      </c>
      <c r="D13" s="52" t="s">
        <v>16</v>
      </c>
      <c r="E13" s="52" t="s">
        <v>24</v>
      </c>
      <c r="F13" s="52" t="s">
        <v>16</v>
      </c>
      <c r="G13" s="52" t="s">
        <v>24</v>
      </c>
      <c r="H13" s="52" t="s">
        <v>16</v>
      </c>
      <c r="I13" s="51" t="s">
        <v>15</v>
      </c>
      <c r="J13" s="52" t="s">
        <v>16</v>
      </c>
      <c r="K13" s="51" t="s">
        <v>15</v>
      </c>
      <c r="L13" s="52" t="s">
        <v>16</v>
      </c>
      <c r="M13" s="51" t="s">
        <v>15</v>
      </c>
      <c r="N13" s="68"/>
    </row>
    <row r="14" spans="2:16" s="24" customFormat="1" ht="24" customHeight="1" x14ac:dyDescent="0.35">
      <c r="B14" s="51" t="s">
        <v>40</v>
      </c>
      <c r="C14" s="67"/>
      <c r="D14" s="36">
        <f ca="1">D28</f>
        <v>0.61362945888687004</v>
      </c>
      <c r="E14" s="36">
        <f t="shared" ref="E14:K14" ca="1" si="1">E28</f>
        <v>0.38637054111312991</v>
      </c>
      <c r="F14" s="36">
        <f t="shared" ca="1" si="1"/>
        <v>0.61438013418622917</v>
      </c>
      <c r="G14" s="36">
        <f t="shared" ca="1" si="1"/>
        <v>0.38561986581377095</v>
      </c>
      <c r="H14" s="36">
        <f t="shared" ca="1" si="1"/>
        <v>0.62280546414624804</v>
      </c>
      <c r="I14" s="36">
        <f t="shared" ca="1" si="1"/>
        <v>0.37719453585375184</v>
      </c>
      <c r="J14" s="36">
        <f t="shared" ca="1" si="1"/>
        <v>0.61897081708978607</v>
      </c>
      <c r="K14" s="36">
        <f t="shared" ca="1" si="1"/>
        <v>0.38102918291021404</v>
      </c>
      <c r="L14" s="36">
        <f ca="1">J14</f>
        <v>0.61897081708978607</v>
      </c>
      <c r="M14" s="36">
        <f ca="1">K14</f>
        <v>0.38102918291021404</v>
      </c>
      <c r="N14" s="39"/>
    </row>
    <row r="15" spans="2:16" s="24" customFormat="1" ht="24" customHeight="1" x14ac:dyDescent="0.35">
      <c r="B15" s="52" t="s">
        <v>38</v>
      </c>
      <c r="C15" s="94">
        <f>C10</f>
        <v>482.63468993302575</v>
      </c>
      <c r="D15" s="95"/>
      <c r="E15" s="94">
        <f>D10</f>
        <v>398.33337708709115</v>
      </c>
      <c r="F15" s="95"/>
      <c r="G15" s="94">
        <f>E10</f>
        <v>410.64675613246391</v>
      </c>
      <c r="H15" s="95"/>
      <c r="I15" s="94">
        <f>F10</f>
        <v>423.32953654919783</v>
      </c>
      <c r="J15" s="95"/>
      <c r="K15" s="94">
        <f>G10</f>
        <v>436.39280037843378</v>
      </c>
      <c r="L15" s="95"/>
      <c r="M15" s="94">
        <f>K15*1.03</f>
        <v>449.48458438978679</v>
      </c>
      <c r="N15" s="95"/>
      <c r="P15" s="40"/>
    </row>
    <row r="16" spans="2:16" s="24" customFormat="1" ht="24" customHeight="1" x14ac:dyDescent="0.35">
      <c r="B16" s="52" t="s">
        <v>27</v>
      </c>
      <c r="C16" s="96"/>
      <c r="D16" s="97"/>
      <c r="E16" s="94">
        <f ca="1">C22</f>
        <v>33.108118700963871</v>
      </c>
      <c r="F16" s="95"/>
      <c r="G16" s="94">
        <f ca="1">E22</f>
        <v>-1.5363124060393716</v>
      </c>
      <c r="H16" s="95"/>
      <c r="I16" s="94">
        <f ca="1">G22</f>
        <v>3.6503749795010094</v>
      </c>
      <c r="J16" s="95"/>
      <c r="K16" s="94">
        <f ca="1">I22</f>
        <v>1.5679511713782972</v>
      </c>
      <c r="L16" s="95"/>
      <c r="M16" s="94">
        <f ca="1">K22</f>
        <v>2.3142074880612427</v>
      </c>
      <c r="N16" s="95"/>
    </row>
    <row r="17" spans="2:16" s="24" customFormat="1" ht="24" customHeight="1" x14ac:dyDescent="0.35">
      <c r="B17" s="52" t="s">
        <v>39</v>
      </c>
      <c r="C17" s="96"/>
      <c r="D17" s="97"/>
      <c r="E17" s="94">
        <f ca="1">E15-E16</f>
        <v>365.22525838612728</v>
      </c>
      <c r="F17" s="95"/>
      <c r="G17" s="94">
        <f ca="1">G15-G16</f>
        <v>412.18306853850328</v>
      </c>
      <c r="H17" s="95"/>
      <c r="I17" s="94">
        <f ca="1">I15-I16</f>
        <v>419.67916156969682</v>
      </c>
      <c r="J17" s="95"/>
      <c r="K17" s="94">
        <f ca="1">K15-K16</f>
        <v>434.82484920705548</v>
      </c>
      <c r="L17" s="95"/>
      <c r="M17" s="94">
        <f ca="1">M15-M16</f>
        <v>447.17037690172555</v>
      </c>
      <c r="N17" s="95"/>
    </row>
    <row r="18" spans="2:16" s="24" customFormat="1" ht="24" customHeight="1" x14ac:dyDescent="0.35">
      <c r="B18" s="58" t="s">
        <v>35</v>
      </c>
      <c r="C18" s="67"/>
      <c r="D18" s="36">
        <f>C15-C20</f>
        <v>138.42290770883443</v>
      </c>
      <c r="E18" s="36">
        <f ca="1">E17*E14</f>
        <v>141.11228071083067</v>
      </c>
      <c r="F18" s="36">
        <f ca="1">E17-E20</f>
        <v>257.22109637626056</v>
      </c>
      <c r="G18" s="36">
        <f ca="1">G17*G14</f>
        <v>158.945979580526</v>
      </c>
      <c r="H18" s="36">
        <f ca="1">G17-G20</f>
        <v>251.70077655193788</v>
      </c>
      <c r="I18" s="36">
        <f ca="1">I17*I14</f>
        <v>158.30068655577352</v>
      </c>
      <c r="J18" s="36">
        <f ca="1">I17-I20</f>
        <v>265.0288499934245</v>
      </c>
      <c r="K18" s="36">
        <f ca="1">K17*K14</f>
        <v>165.68095700242137</v>
      </c>
      <c r="L18" s="36">
        <f ca="1">K17-K20</f>
        <v>270.71184337601244</v>
      </c>
      <c r="M18" s="36">
        <f ca="1">M17*M14</f>
        <v>170.38496333251695</v>
      </c>
      <c r="N18" s="39"/>
    </row>
    <row r="19" spans="2:16" s="24" customFormat="1" ht="24" customHeight="1" x14ac:dyDescent="0.35">
      <c r="B19" s="59" t="s">
        <v>41</v>
      </c>
      <c r="C19" s="67"/>
      <c r="D19" s="98">
        <f ca="1">D18+E18</f>
        <v>279.53518841966513</v>
      </c>
      <c r="E19" s="99"/>
      <c r="F19" s="100">
        <f ca="1">F18+G18</f>
        <v>416.16707595678656</v>
      </c>
      <c r="G19" s="101"/>
      <c r="H19" s="100">
        <f ca="1">H18+I18</f>
        <v>410.0014631077114</v>
      </c>
      <c r="I19" s="101"/>
      <c r="J19" s="100">
        <f ca="1">J18+K18</f>
        <v>430.70980699584584</v>
      </c>
      <c r="K19" s="101"/>
      <c r="L19" s="100">
        <f ca="1">L18+M18</f>
        <v>441.09680670852936</v>
      </c>
      <c r="M19" s="102"/>
      <c r="N19" s="67"/>
    </row>
    <row r="20" spans="2:16" s="24" customFormat="1" ht="24" customHeight="1" x14ac:dyDescent="0.35">
      <c r="B20" s="52" t="s">
        <v>17</v>
      </c>
      <c r="C20" s="36">
        <v>344.21178222419132</v>
      </c>
      <c r="D20" s="36">
        <f ca="1">D19*D14</f>
        <v>171.53102640979839</v>
      </c>
      <c r="E20" s="36">
        <f ca="1">D19*E14</f>
        <v>108.00416200986675</v>
      </c>
      <c r="F20" s="36">
        <f ca="1">F19*F14</f>
        <v>255.68478397022116</v>
      </c>
      <c r="G20" s="36">
        <f ca="1">F19*G14</f>
        <v>160.48229198656546</v>
      </c>
      <c r="H20" s="36">
        <f ca="1">H19*H14</f>
        <v>255.351151531439</v>
      </c>
      <c r="I20" s="36">
        <f ca="1">H19*I14</f>
        <v>154.65031157627237</v>
      </c>
      <c r="J20" s="36">
        <f ca="1">J19*J14</f>
        <v>266.59680116480274</v>
      </c>
      <c r="K20" s="36">
        <f ca="1">J19*K14</f>
        <v>164.11300583104313</v>
      </c>
      <c r="L20" s="36">
        <f ca="1">L19*L14</f>
        <v>273.02605086407385</v>
      </c>
      <c r="M20" s="96"/>
      <c r="N20" s="97"/>
    </row>
    <row r="21" spans="2:16" s="24" customFormat="1" ht="24" customHeight="1" x14ac:dyDescent="0.35">
      <c r="B21" s="52" t="s">
        <v>36</v>
      </c>
      <c r="C21" s="94">
        <f ca="1">C20+D20</f>
        <v>515.74280863398974</v>
      </c>
      <c r="D21" s="95"/>
      <c r="E21" s="94">
        <f ca="1">E20+F20</f>
        <v>363.68894598008791</v>
      </c>
      <c r="F21" s="95"/>
      <c r="G21" s="94">
        <f ca="1">G20+H20</f>
        <v>415.83344351800446</v>
      </c>
      <c r="H21" s="95"/>
      <c r="I21" s="94">
        <f ca="1">I20+J20</f>
        <v>421.24711274107511</v>
      </c>
      <c r="J21" s="95"/>
      <c r="K21" s="94">
        <f ca="1">K20+L20</f>
        <v>437.13905669511701</v>
      </c>
      <c r="L21" s="95"/>
      <c r="M21" s="96"/>
      <c r="N21" s="97"/>
      <c r="P21" s="40"/>
    </row>
    <row r="22" spans="2:16" s="24" customFormat="1" ht="24" customHeight="1" x14ac:dyDescent="0.35">
      <c r="B22" s="52" t="s">
        <v>37</v>
      </c>
      <c r="C22" s="94">
        <f ca="1">C21-C15</f>
        <v>33.108118700963985</v>
      </c>
      <c r="D22" s="95"/>
      <c r="E22" s="94">
        <f ca="1">E21-E17</f>
        <v>-1.5363124060393716</v>
      </c>
      <c r="F22" s="95"/>
      <c r="G22" s="94">
        <f ca="1">G21-G17</f>
        <v>3.65037497950118</v>
      </c>
      <c r="H22" s="95"/>
      <c r="I22" s="94">
        <f ca="1">I21-I17</f>
        <v>1.5679511713782972</v>
      </c>
      <c r="J22" s="95"/>
      <c r="K22" s="94">
        <f ca="1">K21-K17</f>
        <v>2.3142074880615269</v>
      </c>
      <c r="L22" s="95"/>
      <c r="M22" s="96"/>
      <c r="N22" s="97"/>
      <c r="P22" s="40"/>
    </row>
    <row r="24" spans="2:16" s="24" customFormat="1" ht="24" customHeight="1" x14ac:dyDescent="0.35">
      <c r="B24" s="91" t="s">
        <v>45</v>
      </c>
      <c r="C24" s="2" t="s">
        <v>47</v>
      </c>
      <c r="D24" s="44">
        <f ca="1">(D30*'GNonTx Charges'!D15*1000000)/100</f>
        <v>156795201.21909758</v>
      </c>
      <c r="E24" s="44">
        <f ca="1">(E30*'GNonTx Charges'!D15*1000000)/100</f>
        <v>96446252.949919999</v>
      </c>
      <c r="F24" s="44">
        <f ca="1">(F30*'GNonTx Charges'!E15*1000000)/100</f>
        <v>240837043.85962391</v>
      </c>
      <c r="G24" s="44">
        <f ca="1">(G30*'GNonTx Charges'!E15*1000000)/100</f>
        <v>148842559.02541918</v>
      </c>
      <c r="H24" s="44">
        <f ca="1">(H30*'GNonTx Charges'!F15*1000000)/100</f>
        <v>240699295.98654687</v>
      </c>
      <c r="I24" s="44">
        <f ca="1">(I30*'GNonTx Charges'!F15*1000000)/100</f>
        <v>143115848.05093753</v>
      </c>
      <c r="J24" s="44">
        <f ca="1">(J30*'GNonTx Charges'!G15*1000000)/100</f>
        <v>251408650.46693215</v>
      </c>
      <c r="K24" s="44">
        <f ca="1">(K30*'GNonTx Charges'!G15*1000000)/100</f>
        <v>152238770.63585785</v>
      </c>
    </row>
    <row r="25" spans="2:16" s="24" customFormat="1" ht="24" customHeight="1" x14ac:dyDescent="0.35">
      <c r="B25" s="92"/>
      <c r="C25" s="75" t="s">
        <v>48</v>
      </c>
      <c r="D25" s="78">
        <v>13944847.014439879</v>
      </c>
      <c r="E25" s="78">
        <v>10684572.921213046</v>
      </c>
      <c r="F25" s="78">
        <v>13944847.014439879</v>
      </c>
      <c r="G25" s="78">
        <v>10684572.921213046</v>
      </c>
      <c r="H25" s="78">
        <v>13944847.014439879</v>
      </c>
      <c r="I25" s="78">
        <v>10684572.921213046</v>
      </c>
      <c r="J25" s="78">
        <v>13944847.014439879</v>
      </c>
      <c r="K25" s="78">
        <v>10684572.921213046</v>
      </c>
    </row>
    <row r="26" spans="2:16" s="24" customFormat="1" ht="24" customHeight="1" x14ac:dyDescent="0.35">
      <c r="B26" s="92"/>
      <c r="C26" s="75" t="s">
        <v>49</v>
      </c>
      <c r="D26" s="78">
        <v>924354.24823444861</v>
      </c>
      <c r="E26" s="78">
        <v>957316.11126214976</v>
      </c>
      <c r="F26" s="78">
        <v>952084.87568148226</v>
      </c>
      <c r="G26" s="78">
        <v>986035.59460001404</v>
      </c>
      <c r="H26" s="78">
        <v>980647.42195192655</v>
      </c>
      <c r="I26" s="78">
        <v>1015616.6624380145</v>
      </c>
      <c r="J26" s="78">
        <v>1010066.8446104843</v>
      </c>
      <c r="K26" s="78">
        <v>1046085.1623111551</v>
      </c>
    </row>
    <row r="27" spans="2:16" s="24" customFormat="1" ht="24" customHeight="1" thickBot="1" x14ac:dyDescent="0.4">
      <c r="B27" s="92"/>
      <c r="C27" s="45"/>
      <c r="D27" s="90">
        <f ca="1">SUM(D24:E26)</f>
        <v>279752544.46416712</v>
      </c>
      <c r="E27" s="90"/>
      <c r="F27" s="90">
        <f ca="1">SUM(F24:G26)</f>
        <v>416247143.29097748</v>
      </c>
      <c r="G27" s="90"/>
      <c r="H27" s="90">
        <f ca="1">SUM(H24:I26)</f>
        <v>410440828.0575273</v>
      </c>
      <c r="I27" s="90"/>
      <c r="J27" s="90">
        <f ca="1">SUM(J24:K26)</f>
        <v>430332993.04536456</v>
      </c>
      <c r="K27" s="90"/>
    </row>
    <row r="28" spans="2:16" s="24" customFormat="1" ht="24" customHeight="1" thickTop="1" thickBot="1" x14ac:dyDescent="0.4">
      <c r="B28" s="93"/>
      <c r="C28" s="69" t="s">
        <v>42</v>
      </c>
      <c r="D28" s="70">
        <f ca="1">(D24+D25+D26)/D27</f>
        <v>0.61362945888687004</v>
      </c>
      <c r="E28" s="70">
        <f ca="1">(E24+E25+E26)/D27</f>
        <v>0.38637054111312991</v>
      </c>
      <c r="F28" s="70">
        <f t="shared" ref="F28:J28" ca="1" si="2">(F24+F25+F26)/F27</f>
        <v>0.61438013418622917</v>
      </c>
      <c r="G28" s="70">
        <f ca="1">(G24+G25+G26)/F27</f>
        <v>0.38561986581377095</v>
      </c>
      <c r="H28" s="70">
        <f t="shared" ca="1" si="2"/>
        <v>0.62280546414624804</v>
      </c>
      <c r="I28" s="70">
        <f ca="1">(I24+I25+I26)/H27</f>
        <v>0.37719453585375184</v>
      </c>
      <c r="J28" s="70">
        <f t="shared" ca="1" si="2"/>
        <v>0.61897081708978607</v>
      </c>
      <c r="K28" s="70">
        <f ca="1">(K24+K25+K26)/J27</f>
        <v>0.38102918291021404</v>
      </c>
    </row>
    <row r="29" spans="2:16" ht="24" customHeight="1" thickTop="1" x14ac:dyDescent="0.35">
      <c r="E29" t="s">
        <v>2</v>
      </c>
      <c r="K29" t="s">
        <v>2</v>
      </c>
    </row>
    <row r="30" spans="2:16" s="77" customFormat="1" ht="24" customHeight="1" x14ac:dyDescent="0.35">
      <c r="B30" s="2" t="s">
        <v>50</v>
      </c>
      <c r="C30" s="2"/>
      <c r="D30" s="79">
        <v>979970.00761936</v>
      </c>
      <c r="E30" s="79">
        <v>602789.08093699999</v>
      </c>
      <c r="F30" s="79">
        <v>959510.13489890005</v>
      </c>
      <c r="G30" s="79">
        <v>592998.24312916002</v>
      </c>
      <c r="H30" s="79">
        <v>958961.33859182009</v>
      </c>
      <c r="I30" s="79">
        <v>570182.66155752004</v>
      </c>
      <c r="J30" s="79">
        <v>941605.43246041995</v>
      </c>
      <c r="K30" s="79">
        <v>570182.66155752004</v>
      </c>
    </row>
    <row r="32" spans="2:16" s="81" customFormat="1" ht="24" customHeight="1" x14ac:dyDescent="0.35">
      <c r="C32" s="81" t="s">
        <v>2</v>
      </c>
      <c r="D32" s="82"/>
      <c r="E32" s="82"/>
    </row>
    <row r="33" spans="4:11" s="81" customFormat="1" ht="24" customHeight="1" x14ac:dyDescent="0.35">
      <c r="D33" s="83"/>
      <c r="E33" s="83"/>
    </row>
    <row r="34" spans="4:11" s="81" customFormat="1" ht="24" customHeight="1" x14ac:dyDescent="0.35">
      <c r="D34" s="84"/>
      <c r="E34" s="85"/>
      <c r="F34" s="86"/>
    </row>
    <row r="35" spans="4:11" ht="24" customHeight="1" x14ac:dyDescent="0.35">
      <c r="K35" t="s">
        <v>2</v>
      </c>
    </row>
  </sheetData>
  <mergeCells count="47">
    <mergeCell ref="M12:N12"/>
    <mergeCell ref="C12:D12"/>
    <mergeCell ref="E12:F12"/>
    <mergeCell ref="G12:H12"/>
    <mergeCell ref="I12:J12"/>
    <mergeCell ref="K12:L12"/>
    <mergeCell ref="M20:N20"/>
    <mergeCell ref="C15:D15"/>
    <mergeCell ref="E15:F15"/>
    <mergeCell ref="G15:H15"/>
    <mergeCell ref="I15:J15"/>
    <mergeCell ref="K15:L15"/>
    <mergeCell ref="M15:N15"/>
    <mergeCell ref="D19:E19"/>
    <mergeCell ref="F19:G19"/>
    <mergeCell ref="H19:I19"/>
    <mergeCell ref="J19:K19"/>
    <mergeCell ref="L19:M19"/>
    <mergeCell ref="M17:N17"/>
    <mergeCell ref="C16:D16"/>
    <mergeCell ref="E16:F16"/>
    <mergeCell ref="G16:H16"/>
    <mergeCell ref="M22:N22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I16:J16"/>
    <mergeCell ref="K16:L16"/>
    <mergeCell ref="M16:N16"/>
    <mergeCell ref="C17:D17"/>
    <mergeCell ref="E17:F17"/>
    <mergeCell ref="G17:H17"/>
    <mergeCell ref="I17:J17"/>
    <mergeCell ref="K17:L17"/>
    <mergeCell ref="D27:E27"/>
    <mergeCell ref="F27:G27"/>
    <mergeCell ref="H27:I27"/>
    <mergeCell ref="J27:K27"/>
    <mergeCell ref="B24:B28"/>
  </mergeCells>
  <phoneticPr fontId="11" type="noConversion"/>
  <pageMargins left="0.7" right="0.7" top="0.75" bottom="0.75" header="0.3" footer="0.3"/>
  <pageSetup orientation="portrait" r:id="rId1"/>
  <ignoredErrors>
    <ignoredError sqref="E20:L20 F18:L18 E28:J28" formula="1"/>
    <ignoredError sqref="E2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901058D149C14987EE7CC6CABD9357" ma:contentTypeVersion="10" ma:contentTypeDescription="Create a new document." ma:contentTypeScope="" ma:versionID="815a6f34eaea5f04cb36348ebecfb0b9">
  <xsd:schema xmlns:xsd="http://www.w3.org/2001/XMLSchema" xmlns:xs="http://www.w3.org/2001/XMLSchema" xmlns:p="http://schemas.microsoft.com/office/2006/metadata/properties" xmlns:ns2="2da05d4c-d30b-4835-9c25-258ad1854f35" targetNamespace="http://schemas.microsoft.com/office/2006/metadata/properties" ma:root="true" ma:fieldsID="3fb1fed4290e4de127fd4c833ea0b88e" ns2:_="">
    <xsd:import namespace="2da05d4c-d30b-4835-9c25-258ad1854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05d4c-d30b-4835-9c25-258ad1854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12148-2497-40DC-97BA-3935E3FFB2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CBBD4-573A-4039-A6AE-27E9D6D64DB6}">
  <ds:schemaRefs>
    <ds:schemaRef ds:uri="http://purl.org/dc/elements/1.1/"/>
    <ds:schemaRef ds:uri="http://schemas.microsoft.com/office/2006/metadata/properties"/>
    <ds:schemaRef ds:uri="2da05d4c-d30b-4835-9c25-258ad1854f3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8FBC7C-39C8-45B9-ABB0-1AF1145F1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a05d4c-d30b-4835-9c25-258ad1854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GNonTx Charges</vt:lpstr>
      <vt:lpstr>0857 MAR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Bayliss, Dave A</dc:creator>
  <cp:keywords/>
  <dc:description/>
  <cp:lastModifiedBy>Ash Adams (National Gas)</cp:lastModifiedBy>
  <cp:revision/>
  <dcterms:created xsi:type="dcterms:W3CDTF">2020-05-26T14:48:24Z</dcterms:created>
  <dcterms:modified xsi:type="dcterms:W3CDTF">2023-11-27T15:59:15Z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0x01010084901058D149C14987EE7CC6CABD9357</vt:lpwstr>
  </property>
</Properties>
</file>