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H:\My Documents\_Future Markets Gas\Charging\Short Haul Review\"/>
    </mc:Choice>
  </mc:AlternateContent>
  <bookViews>
    <workbookView xWindow="0" yWindow="0" windowWidth="12510" windowHeight="7080"/>
  </bookViews>
  <sheets>
    <sheet name="NTS OWC Methodology" sheetId="1" r:id="rId1"/>
    <sheet name="RPI Table" sheetId="2" r:id="rId2"/>
    <sheet name="Inflation assumptions" sheetId="5" r:id="rId3"/>
  </sheets>
  <calcPr calcId="171027"/>
</workbook>
</file>

<file path=xl/calcChain.xml><?xml version="1.0" encoding="utf-8"?>
<calcChain xmlns="http://schemas.openxmlformats.org/spreadsheetml/2006/main">
  <c r="B89" i="1" l="1"/>
  <c r="B90" i="1" s="1"/>
  <c r="B91" i="1" s="1"/>
  <c r="B92" i="1" s="1"/>
  <c r="B93" i="1" s="1"/>
  <c r="B94" i="1" s="1"/>
  <c r="B95" i="1" s="1"/>
  <c r="B96" i="1" s="1"/>
  <c r="B97" i="1" s="1"/>
  <c r="B98" i="1" l="1"/>
  <c r="B100" i="1" s="1"/>
  <c r="B555" i="2"/>
  <c r="C554" i="2"/>
  <c r="C304" i="2" l="1"/>
  <c r="C5" i="5" s="1"/>
  <c r="H153" i="1" l="1"/>
  <c r="D160" i="1" s="1"/>
  <c r="C56" i="1"/>
  <c r="E37" i="1"/>
  <c r="D153" i="1" l="1"/>
  <c r="E153" i="1" s="1"/>
  <c r="D161" i="1"/>
  <c r="E161" i="1" s="1"/>
  <c r="D156" i="1"/>
  <c r="F156" i="1" s="1"/>
  <c r="D164" i="1"/>
  <c r="E164" i="1" s="1"/>
  <c r="D157" i="1"/>
  <c r="E157" i="1" s="1"/>
  <c r="D165" i="1"/>
  <c r="E165" i="1" s="1"/>
  <c r="D152" i="1"/>
  <c r="F152" i="1" s="1"/>
  <c r="B18" i="1"/>
  <c r="B14" i="1"/>
  <c r="B10" i="1"/>
  <c r="B6" i="1"/>
  <c r="B17" i="1"/>
  <c r="B13" i="1"/>
  <c r="B9" i="1"/>
  <c r="B19" i="1"/>
  <c r="B11" i="1"/>
  <c r="B16" i="1"/>
  <c r="B12" i="1"/>
  <c r="B8" i="1"/>
  <c r="B15" i="1"/>
  <c r="B7" i="1"/>
  <c r="D154" i="1"/>
  <c r="F154" i="1" s="1"/>
  <c r="D158" i="1"/>
  <c r="E158" i="1" s="1"/>
  <c r="D162" i="1"/>
  <c r="E162" i="1" s="1"/>
  <c r="D155" i="1"/>
  <c r="E155" i="1" s="1"/>
  <c r="D159" i="1"/>
  <c r="E159" i="1" s="1"/>
  <c r="D163" i="1"/>
  <c r="F163" i="1" s="1"/>
  <c r="C544" i="2"/>
  <c r="C508" i="2"/>
  <c r="C436" i="2"/>
  <c r="F160" i="1"/>
  <c r="F164" i="1" l="1"/>
  <c r="E152" i="1"/>
  <c r="F153" i="1"/>
  <c r="F162" i="1"/>
  <c r="E154" i="1"/>
  <c r="D5" i="5"/>
  <c r="D508" i="2"/>
  <c r="F158" i="1"/>
  <c r="F155" i="1"/>
  <c r="F157" i="1"/>
  <c r="E156" i="1"/>
  <c r="E160" i="1"/>
  <c r="F159" i="1"/>
  <c r="F161" i="1"/>
  <c r="F165" i="1"/>
  <c r="E163" i="1"/>
  <c r="G5" i="5" l="1"/>
  <c r="C24" i="1" s="1"/>
  <c r="C28" i="1" l="1"/>
  <c r="D28" i="1" s="1"/>
  <c r="C26" i="1"/>
  <c r="D26" i="1" s="1"/>
  <c r="C31" i="1"/>
  <c r="D31" i="1" s="1"/>
  <c r="E38" i="1"/>
  <c r="E40" i="1" s="1"/>
  <c r="B72" i="1" s="1"/>
  <c r="C57" i="1"/>
  <c r="C29" i="1"/>
  <c r="D29" i="1" s="1"/>
  <c r="C27" i="1"/>
  <c r="D27" i="1" s="1"/>
  <c r="C25" i="1"/>
  <c r="D25" i="1" s="1"/>
  <c r="C30" i="1"/>
  <c r="D30" i="1" s="1"/>
  <c r="E41" i="1"/>
  <c r="B73" i="1" s="1"/>
  <c r="E50" i="1" l="1"/>
  <c r="B82" i="1" s="1"/>
  <c r="D82" i="1" s="1"/>
  <c r="E44" i="1"/>
  <c r="B76" i="1" s="1"/>
  <c r="E46" i="1"/>
  <c r="B78" i="1" s="1"/>
  <c r="G78" i="1" s="1"/>
  <c r="E45" i="1"/>
  <c r="B77" i="1" s="1"/>
  <c r="G77" i="1" s="1"/>
  <c r="E39" i="1"/>
  <c r="B71" i="1" s="1"/>
  <c r="B107" i="1" s="1"/>
  <c r="B125" i="1" s="1"/>
  <c r="B171" i="1" s="1"/>
  <c r="B194" i="1" s="1"/>
  <c r="C194" i="1" s="1"/>
  <c r="E48" i="1"/>
  <c r="B80" i="1" s="1"/>
  <c r="F80" i="1" s="1"/>
  <c r="F79" i="1"/>
  <c r="G81" i="1"/>
  <c r="D78" i="1"/>
  <c r="D114" i="1" s="1"/>
  <c r="D132" i="1" s="1"/>
  <c r="D178" i="1" s="1"/>
  <c r="E80" i="1"/>
  <c r="E116" i="1" s="1"/>
  <c r="E134" i="1" s="1"/>
  <c r="E180" i="1" s="1"/>
  <c r="G79" i="1"/>
  <c r="J81" i="1"/>
  <c r="I72" i="1"/>
  <c r="J73" i="1"/>
  <c r="E43" i="1"/>
  <c r="B75" i="1" s="1"/>
  <c r="E49" i="1"/>
  <c r="B81" i="1" s="1"/>
  <c r="F81" i="1" s="1"/>
  <c r="E51" i="1"/>
  <c r="B83" i="1" s="1"/>
  <c r="E83" i="1" s="1"/>
  <c r="E52" i="1"/>
  <c r="B84" i="1" s="1"/>
  <c r="B120" i="1" s="1"/>
  <c r="B138" i="1" s="1"/>
  <c r="B184" i="1" s="1"/>
  <c r="B207" i="1" s="1"/>
  <c r="C207" i="1" s="1"/>
  <c r="F75" i="1"/>
  <c r="D73" i="1"/>
  <c r="C72" i="1"/>
  <c r="C108" i="1" s="1"/>
  <c r="F76" i="1"/>
  <c r="F112" i="1" s="1"/>
  <c r="F130" i="1" s="1"/>
  <c r="F176" i="1" s="1"/>
  <c r="E75" i="1"/>
  <c r="C73" i="1"/>
  <c r="E76" i="1"/>
  <c r="E112" i="1" s="1"/>
  <c r="E130" i="1" s="1"/>
  <c r="E176" i="1" s="1"/>
  <c r="H75" i="1"/>
  <c r="D75" i="1"/>
  <c r="D111" i="1" s="1"/>
  <c r="C75" i="1"/>
  <c r="H76" i="1"/>
  <c r="F74" i="1"/>
  <c r="D76" i="1"/>
  <c r="G75" i="1"/>
  <c r="J77" i="1"/>
  <c r="I83" i="1"/>
  <c r="H82" i="1"/>
  <c r="C81" i="1"/>
  <c r="H83" i="1"/>
  <c r="D83" i="1"/>
  <c r="D119" i="1" s="1"/>
  <c r="D137" i="1" s="1"/>
  <c r="D183" i="1" s="1"/>
  <c r="E81" i="1"/>
  <c r="E47" i="1"/>
  <c r="B79" i="1" s="1"/>
  <c r="D79" i="1" s="1"/>
  <c r="E42" i="1"/>
  <c r="B74" i="1" s="1"/>
  <c r="C74" i="1" s="1"/>
  <c r="C110" i="1" s="1"/>
  <c r="I74" i="1"/>
  <c r="I75" i="1"/>
  <c r="H74" i="1"/>
  <c r="F72" i="1"/>
  <c r="G74" i="1"/>
  <c r="F73" i="1"/>
  <c r="E72" i="1"/>
  <c r="H72" i="1"/>
  <c r="D72" i="1"/>
  <c r="D108" i="1" s="1"/>
  <c r="D126" i="1" s="1"/>
  <c r="D172" i="1" s="1"/>
  <c r="E73" i="1"/>
  <c r="E109" i="1" s="1"/>
  <c r="D61" i="1"/>
  <c r="E144" i="1" s="1"/>
  <c r="C64" i="1"/>
  <c r="D64" i="1" s="1"/>
  <c r="E143" i="1" s="1"/>
  <c r="C60" i="1"/>
  <c r="D60" i="1" s="1"/>
  <c r="E145" i="1" s="1"/>
  <c r="C63" i="1"/>
  <c r="C59" i="1"/>
  <c r="D59" i="1" s="1"/>
  <c r="E146" i="1" s="1"/>
  <c r="C62" i="1"/>
  <c r="D62" i="1" s="1"/>
  <c r="C61" i="1"/>
  <c r="E78" i="1"/>
  <c r="D77" i="1"/>
  <c r="C76" i="1"/>
  <c r="E77" i="1"/>
  <c r="J79" i="1"/>
  <c r="B112" i="1"/>
  <c r="D112" i="1"/>
  <c r="D130" i="1" s="1"/>
  <c r="D176" i="1" s="1"/>
  <c r="C112" i="1"/>
  <c r="C130" i="1" s="1"/>
  <c r="C176" i="1" s="1"/>
  <c r="C109" i="1"/>
  <c r="B109" i="1"/>
  <c r="B116" i="1"/>
  <c r="B118" i="1"/>
  <c r="B136" i="1" s="1"/>
  <c r="B182" i="1" s="1"/>
  <c r="B205" i="1" s="1"/>
  <c r="C205" i="1" s="1"/>
  <c r="B111" i="1"/>
  <c r="B115" i="1"/>
  <c r="B133" i="1" s="1"/>
  <c r="B179" i="1" s="1"/>
  <c r="B202" i="1" s="1"/>
  <c r="C202" i="1" s="1"/>
  <c r="B108" i="1"/>
  <c r="B113" i="1"/>
  <c r="B131" i="1" s="1"/>
  <c r="B177" i="1" s="1"/>
  <c r="B200" i="1" s="1"/>
  <c r="C200" i="1" s="1"/>
  <c r="B134" i="1"/>
  <c r="B180" i="1" s="1"/>
  <c r="B203" i="1" s="1"/>
  <c r="C203" i="1" s="1"/>
  <c r="C71" i="1" l="1"/>
  <c r="C107" i="1" s="1"/>
  <c r="C125" i="1" s="1"/>
  <c r="C171" i="1" s="1"/>
  <c r="C128" i="1"/>
  <c r="C174" i="1" s="1"/>
  <c r="F82" i="1"/>
  <c r="E74" i="1"/>
  <c r="H71" i="1"/>
  <c r="B119" i="1"/>
  <c r="B137" i="1" s="1"/>
  <c r="B183" i="1" s="1"/>
  <c r="B206" i="1" s="1"/>
  <c r="C206" i="1" s="1"/>
  <c r="C77" i="1"/>
  <c r="C113" i="1" s="1"/>
  <c r="C131" i="1" s="1"/>
  <c r="C177" i="1" s="1"/>
  <c r="E127" i="1"/>
  <c r="E173" i="1" s="1"/>
  <c r="D71" i="1"/>
  <c r="D107" i="1" s="1"/>
  <c r="D125" i="1" s="1"/>
  <c r="D171" i="1" s="1"/>
  <c r="E71" i="1"/>
  <c r="F71" i="1"/>
  <c r="F107" i="1" s="1"/>
  <c r="F125" i="1" s="1"/>
  <c r="F171" i="1" s="1"/>
  <c r="D84" i="1"/>
  <c r="E82" i="1"/>
  <c r="I77" i="1"/>
  <c r="F77" i="1"/>
  <c r="I81" i="1"/>
  <c r="I117" i="1" s="1"/>
  <c r="I135" i="1" s="1"/>
  <c r="I181" i="1" s="1"/>
  <c r="E79" i="1"/>
  <c r="E115" i="1" s="1"/>
  <c r="E133" i="1" s="1"/>
  <c r="E179" i="1" s="1"/>
  <c r="I82" i="1"/>
  <c r="B129" i="1"/>
  <c r="B175" i="1" s="1"/>
  <c r="B198" i="1" s="1"/>
  <c r="C198" i="1" s="1"/>
  <c r="B127" i="1"/>
  <c r="B173" i="1" s="1"/>
  <c r="B196" i="1" s="1"/>
  <c r="C196" i="1" s="1"/>
  <c r="B130" i="1"/>
  <c r="B176" i="1" s="1"/>
  <c r="B199" i="1" s="1"/>
  <c r="C199" i="1" s="1"/>
  <c r="I73" i="1"/>
  <c r="H73" i="1"/>
  <c r="C79" i="1"/>
  <c r="C115" i="1" s="1"/>
  <c r="C133" i="1" s="1"/>
  <c r="C179" i="1" s="1"/>
  <c r="C82" i="1"/>
  <c r="F83" i="1"/>
  <c r="D129" i="1"/>
  <c r="D175" i="1" s="1"/>
  <c r="C126" i="1"/>
  <c r="C172" i="1" s="1"/>
  <c r="G76" i="1"/>
  <c r="G112" i="1" s="1"/>
  <c r="G130" i="1" s="1"/>
  <c r="G176" i="1" s="1"/>
  <c r="I71" i="1"/>
  <c r="H79" i="1"/>
  <c r="I79" i="1"/>
  <c r="C127" i="1"/>
  <c r="C173" i="1" s="1"/>
  <c r="F78" i="1"/>
  <c r="H78" i="1"/>
  <c r="H114" i="1" s="1"/>
  <c r="H132" i="1" s="1"/>
  <c r="H178" i="1" s="1"/>
  <c r="I78" i="1"/>
  <c r="J84" i="1"/>
  <c r="J120" i="1" s="1"/>
  <c r="J138" i="1" s="1"/>
  <c r="J184" i="1" s="1"/>
  <c r="B230" i="1" s="1"/>
  <c r="C230" i="1" s="1"/>
  <c r="J74" i="1"/>
  <c r="H84" i="1"/>
  <c r="F84" i="1"/>
  <c r="J72" i="1"/>
  <c r="J108" i="1" s="1"/>
  <c r="J126" i="1" s="1"/>
  <c r="J172" i="1" s="1"/>
  <c r="J83" i="1"/>
  <c r="J119" i="1" s="1"/>
  <c r="J137" i="1" s="1"/>
  <c r="J183" i="1" s="1"/>
  <c r="B229" i="1" s="1"/>
  <c r="C229" i="1" s="1"/>
  <c r="C83" i="1"/>
  <c r="C119" i="1" s="1"/>
  <c r="C137" i="1" s="1"/>
  <c r="C183" i="1" s="1"/>
  <c r="J76" i="1"/>
  <c r="J112" i="1" s="1"/>
  <c r="J130" i="1" s="1"/>
  <c r="J176" i="1" s="1"/>
  <c r="E84" i="1"/>
  <c r="E120" i="1" s="1"/>
  <c r="E138" i="1" s="1"/>
  <c r="E184" i="1" s="1"/>
  <c r="C80" i="1"/>
  <c r="G84" i="1"/>
  <c r="D74" i="1"/>
  <c r="J71" i="1"/>
  <c r="D80" i="1"/>
  <c r="D116" i="1" s="1"/>
  <c r="D134" i="1" s="1"/>
  <c r="D180" i="1" s="1"/>
  <c r="C78" i="1"/>
  <c r="C114" i="1" s="1"/>
  <c r="C132" i="1" s="1"/>
  <c r="C178" i="1" s="1"/>
  <c r="I80" i="1"/>
  <c r="G80" i="1"/>
  <c r="G116" i="1" s="1"/>
  <c r="G134" i="1" s="1"/>
  <c r="G180" i="1" s="1"/>
  <c r="C84" i="1"/>
  <c r="C120" i="1" s="1"/>
  <c r="C138" i="1" s="1"/>
  <c r="C184" i="1" s="1"/>
  <c r="D63" i="1"/>
  <c r="B114" i="1"/>
  <c r="B132" i="1" s="1"/>
  <c r="B178" i="1" s="1"/>
  <c r="B201" i="1" s="1"/>
  <c r="C201" i="1" s="1"/>
  <c r="B126" i="1"/>
  <c r="B172" i="1" s="1"/>
  <c r="B195" i="1" s="1"/>
  <c r="C195" i="1" s="1"/>
  <c r="L214" i="1" s="1"/>
  <c r="B117" i="1"/>
  <c r="B135" i="1" s="1"/>
  <c r="B181" i="1" s="1"/>
  <c r="B204" i="1" s="1"/>
  <c r="C204" i="1" s="1"/>
  <c r="B110" i="1"/>
  <c r="B128" i="1" s="1"/>
  <c r="B174" i="1" s="1"/>
  <c r="B197" i="1" s="1"/>
  <c r="C197" i="1" s="1"/>
  <c r="J80" i="1"/>
  <c r="J116" i="1" s="1"/>
  <c r="J134" i="1" s="1"/>
  <c r="J180" i="1" s="1"/>
  <c r="B226" i="1" s="1"/>
  <c r="C226" i="1" s="1"/>
  <c r="J75" i="1"/>
  <c r="G73" i="1"/>
  <c r="G109" i="1" s="1"/>
  <c r="G127" i="1" s="1"/>
  <c r="G173" i="1" s="1"/>
  <c r="G72" i="1"/>
  <c r="G108" i="1" s="1"/>
  <c r="G126" i="1" s="1"/>
  <c r="G172" i="1" s="1"/>
  <c r="G83" i="1"/>
  <c r="G119" i="1" s="1"/>
  <c r="G137" i="1" s="1"/>
  <c r="G183" i="1" s="1"/>
  <c r="G82" i="1"/>
  <c r="G118" i="1" s="1"/>
  <c r="G136" i="1" s="1"/>
  <c r="G182" i="1" s="1"/>
  <c r="I84" i="1"/>
  <c r="I120" i="1" s="1"/>
  <c r="I138" i="1" s="1"/>
  <c r="I184" i="1" s="1"/>
  <c r="D81" i="1"/>
  <c r="J78" i="1"/>
  <c r="I76" i="1"/>
  <c r="I112" i="1" s="1"/>
  <c r="I130" i="1" s="1"/>
  <c r="I176" i="1" s="1"/>
  <c r="H77" i="1"/>
  <c r="H113" i="1" s="1"/>
  <c r="H131" i="1" s="1"/>
  <c r="H177" i="1" s="1"/>
  <c r="G71" i="1"/>
  <c r="G107" i="1" s="1"/>
  <c r="G125" i="1" s="1"/>
  <c r="G171" i="1" s="1"/>
  <c r="J82" i="1"/>
  <c r="J118" i="1" s="1"/>
  <c r="J136" i="1" s="1"/>
  <c r="J182" i="1" s="1"/>
  <c r="B228" i="1" s="1"/>
  <c r="C228" i="1" s="1"/>
  <c r="H80" i="1"/>
  <c r="H116" i="1" s="1"/>
  <c r="H134" i="1" s="1"/>
  <c r="H180" i="1" s="1"/>
  <c r="H81" i="1"/>
  <c r="I119" i="1"/>
  <c r="I137" i="1" s="1"/>
  <c r="I183" i="1" s="1"/>
  <c r="I116" i="1"/>
  <c r="I134" i="1" s="1"/>
  <c r="I180" i="1" s="1"/>
  <c r="H111" i="1"/>
  <c r="H129" i="1" s="1"/>
  <c r="H175" i="1" s="1"/>
  <c r="H112" i="1"/>
  <c r="H130" i="1" s="1"/>
  <c r="H176" i="1" s="1"/>
  <c r="H115" i="1"/>
  <c r="H133" i="1" s="1"/>
  <c r="H179" i="1" s="1"/>
  <c r="J107" i="1"/>
  <c r="J125" i="1" s="1"/>
  <c r="J171" i="1" s="1"/>
  <c r="B217" i="1" s="1"/>
  <c r="C217" i="1" s="1"/>
  <c r="E114" i="1"/>
  <c r="E132" i="1" s="1"/>
  <c r="E178" i="1" s="1"/>
  <c r="J110" i="1"/>
  <c r="J128" i="1" s="1"/>
  <c r="J174" i="1" s="1"/>
  <c r="B220" i="1" s="1"/>
  <c r="C220" i="1" s="1"/>
  <c r="F110" i="1"/>
  <c r="F128" i="1" s="1"/>
  <c r="F174" i="1" s="1"/>
  <c r="E110" i="1"/>
  <c r="E128" i="1" s="1"/>
  <c r="E174" i="1" s="1"/>
  <c r="G114" i="1"/>
  <c r="G132" i="1" s="1"/>
  <c r="G178" i="1" s="1"/>
  <c r="H117" i="1"/>
  <c r="H135" i="1" s="1"/>
  <c r="H181" i="1" s="1"/>
  <c r="I109" i="1"/>
  <c r="I127" i="1" s="1"/>
  <c r="I173" i="1" s="1"/>
  <c r="J117" i="1"/>
  <c r="J135" i="1" s="1"/>
  <c r="J181" i="1" s="1"/>
  <c r="B227" i="1" s="1"/>
  <c r="C227" i="1" s="1"/>
  <c r="C118" i="1"/>
  <c r="C136" i="1" s="1"/>
  <c r="C182" i="1" s="1"/>
  <c r="F114" i="1"/>
  <c r="F132" i="1" s="1"/>
  <c r="F178" i="1" s="1"/>
  <c r="D109" i="1"/>
  <c r="D127" i="1" s="1"/>
  <c r="D173" i="1" s="1"/>
  <c r="F119" i="1"/>
  <c r="F137" i="1" s="1"/>
  <c r="F183" i="1" s="1"/>
  <c r="D115" i="1"/>
  <c r="D133" i="1" s="1"/>
  <c r="D179" i="1" s="1"/>
  <c r="E107" i="1"/>
  <c r="E125" i="1" s="1"/>
  <c r="E171" i="1" s="1"/>
  <c r="F118" i="1"/>
  <c r="F136" i="1" s="1"/>
  <c r="F182" i="1" s="1"/>
  <c r="H109" i="1"/>
  <c r="H127" i="1" s="1"/>
  <c r="H173" i="1" s="1"/>
  <c r="H119" i="1"/>
  <c r="H137" i="1" s="1"/>
  <c r="H183" i="1" s="1"/>
  <c r="I107" i="1"/>
  <c r="I125" i="1" s="1"/>
  <c r="I171" i="1" s="1"/>
  <c r="I111" i="1"/>
  <c r="I129" i="1" s="1"/>
  <c r="I175" i="1" s="1"/>
  <c r="H118" i="1"/>
  <c r="H136" i="1" s="1"/>
  <c r="H182" i="1" s="1"/>
  <c r="J111" i="1"/>
  <c r="J129" i="1" s="1"/>
  <c r="J175" i="1" s="1"/>
  <c r="B221" i="1" s="1"/>
  <c r="C221" i="1" s="1"/>
  <c r="I108" i="1"/>
  <c r="I126" i="1" s="1"/>
  <c r="I172" i="1" s="1"/>
  <c r="I118" i="1"/>
  <c r="I136" i="1" s="1"/>
  <c r="I182" i="1" s="1"/>
  <c r="F108" i="1"/>
  <c r="F126" i="1" s="1"/>
  <c r="F172" i="1" s="1"/>
  <c r="E117" i="1"/>
  <c r="E135" i="1" s="1"/>
  <c r="E181" i="1" s="1"/>
  <c r="D118" i="1"/>
  <c r="D136" i="1" s="1"/>
  <c r="D182" i="1" s="1"/>
  <c r="J109" i="1"/>
  <c r="J127" i="1" s="1"/>
  <c r="J173" i="1" s="1"/>
  <c r="B219" i="1" s="1"/>
  <c r="C219" i="1" s="1"/>
  <c r="D117" i="1"/>
  <c r="D135" i="1" s="1"/>
  <c r="D181" i="1" s="1"/>
  <c r="F109" i="1"/>
  <c r="F127" i="1" s="1"/>
  <c r="F173" i="1" s="1"/>
  <c r="D120" i="1"/>
  <c r="D138" i="1" s="1"/>
  <c r="D184" i="1" s="1"/>
  <c r="F120" i="1"/>
  <c r="F138" i="1" s="1"/>
  <c r="F184" i="1" s="1"/>
  <c r="E111" i="1"/>
  <c r="E129" i="1" s="1"/>
  <c r="E175" i="1" s="1"/>
  <c r="F113" i="1"/>
  <c r="F131" i="1" s="1"/>
  <c r="F177" i="1" s="1"/>
  <c r="E113" i="1"/>
  <c r="E131" i="1" s="1"/>
  <c r="E177" i="1" s="1"/>
  <c r="H108" i="1"/>
  <c r="H126" i="1" s="1"/>
  <c r="H172" i="1" s="1"/>
  <c r="I113" i="1"/>
  <c r="I131" i="1" s="1"/>
  <c r="I177" i="1" s="1"/>
  <c r="H110" i="1"/>
  <c r="H128" i="1" s="1"/>
  <c r="H174" i="1" s="1"/>
  <c r="E118" i="1"/>
  <c r="E136" i="1" s="1"/>
  <c r="E182" i="1" s="1"/>
  <c r="F115" i="1"/>
  <c r="F133" i="1" s="1"/>
  <c r="F179" i="1" s="1"/>
  <c r="E119" i="1"/>
  <c r="E137" i="1" s="1"/>
  <c r="E183" i="1" s="1"/>
  <c r="I115" i="1"/>
  <c r="I133" i="1" s="1"/>
  <c r="I179" i="1" s="1"/>
  <c r="H107" i="1"/>
  <c r="H125" i="1" s="1"/>
  <c r="H171" i="1" s="1"/>
  <c r="I110" i="1"/>
  <c r="I128" i="1" s="1"/>
  <c r="I174" i="1" s="1"/>
  <c r="G120" i="1"/>
  <c r="G138" i="1" s="1"/>
  <c r="G184" i="1" s="1"/>
  <c r="J114" i="1"/>
  <c r="J132" i="1" s="1"/>
  <c r="J178" i="1" s="1"/>
  <c r="B224" i="1" s="1"/>
  <c r="C224" i="1" s="1"/>
  <c r="C111" i="1"/>
  <c r="C129" i="1" s="1"/>
  <c r="C175" i="1" s="1"/>
  <c r="J115" i="1"/>
  <c r="J133" i="1" s="1"/>
  <c r="J179" i="1" s="1"/>
  <c r="B225" i="1" s="1"/>
  <c r="C225" i="1" s="1"/>
  <c r="F116" i="1"/>
  <c r="F134" i="1" s="1"/>
  <c r="F180" i="1" s="1"/>
  <c r="I114" i="1"/>
  <c r="I132" i="1" s="1"/>
  <c r="I178" i="1" s="1"/>
  <c r="G110" i="1"/>
  <c r="G128" i="1" s="1"/>
  <c r="G174" i="1" s="1"/>
  <c r="G111" i="1"/>
  <c r="G129" i="1" s="1"/>
  <c r="G175" i="1" s="1"/>
  <c r="G117" i="1"/>
  <c r="G135" i="1" s="1"/>
  <c r="G181" i="1" s="1"/>
  <c r="H120" i="1"/>
  <c r="H138" i="1" s="1"/>
  <c r="H184" i="1" s="1"/>
  <c r="G113" i="1"/>
  <c r="G131" i="1" s="1"/>
  <c r="G177" i="1" s="1"/>
  <c r="G115" i="1"/>
  <c r="G133" i="1" s="1"/>
  <c r="G179" i="1" s="1"/>
  <c r="E108" i="1"/>
  <c r="E126" i="1" s="1"/>
  <c r="E172" i="1" s="1"/>
  <c r="J113" i="1"/>
  <c r="J131" i="1" s="1"/>
  <c r="J177" i="1" s="1"/>
  <c r="B223" i="1" s="1"/>
  <c r="C223" i="1" s="1"/>
  <c r="F111" i="1"/>
  <c r="F129" i="1" s="1"/>
  <c r="F175" i="1" s="1"/>
  <c r="C117" i="1"/>
  <c r="C135" i="1" s="1"/>
  <c r="C181" i="1" s="1"/>
  <c r="F117" i="1"/>
  <c r="F135" i="1" s="1"/>
  <c r="F181" i="1" s="1"/>
  <c r="C116" i="1"/>
  <c r="C134" i="1" s="1"/>
  <c r="C180" i="1" s="1"/>
  <c r="D110" i="1"/>
  <c r="D128" i="1" s="1"/>
  <c r="D174" i="1" s="1"/>
  <c r="D113" i="1"/>
  <c r="D131" i="1" s="1"/>
  <c r="D177" i="1" s="1"/>
  <c r="B218" i="1"/>
  <c r="C218" i="1" s="1"/>
  <c r="B222" i="1" l="1"/>
  <c r="C222" i="1" s="1"/>
  <c r="L242" i="1" s="1"/>
  <c r="N214" i="1"/>
  <c r="L216" i="1" s="1"/>
  <c r="J215" i="1"/>
  <c r="J214" i="1"/>
  <c r="J216" i="1"/>
  <c r="N242" i="1" l="1"/>
  <c r="L244" i="1" s="1"/>
  <c r="F258" i="1" s="1"/>
  <c r="J244" i="1"/>
  <c r="J243" i="1" l="1"/>
  <c r="J242" i="1"/>
</calcChain>
</file>

<file path=xl/sharedStrings.xml><?xml version="1.0" encoding="utf-8"?>
<sst xmlns="http://schemas.openxmlformats.org/spreadsheetml/2006/main" count="733" uniqueCount="643">
  <si>
    <t>1) Pipeline Diameters for a range of distances and peak-day flowrates</t>
  </si>
  <si>
    <t>SOQ(mcmd)</t>
  </si>
  <si>
    <t>SOQ (KWh)</t>
  </si>
  <si>
    <t>5 km</t>
  </si>
  <si>
    <t>10 km</t>
  </si>
  <si>
    <t>15 km</t>
  </si>
  <si>
    <t>20 km</t>
  </si>
  <si>
    <t>25 km</t>
  </si>
  <si>
    <t>30 km</t>
  </si>
  <si>
    <t>40 km</t>
  </si>
  <si>
    <t>50 km</t>
  </si>
  <si>
    <t>2) Pipelaying Unit Costs</t>
  </si>
  <si>
    <t>RPI Indexation</t>
  </si>
  <si>
    <t>Pipe size</t>
  </si>
  <si>
    <t>1998 Unit Cost</t>
  </si>
  <si>
    <t>Diam. (mm)</t>
  </si>
  <si>
    <t>£/km</t>
  </si>
  <si>
    <t>3) Maintenance cost</t>
  </si>
  <si>
    <t>Flowrate (mcmd)</t>
  </si>
  <si>
    <t>Pipe Diam</t>
  </si>
  <si>
    <t>Total £'000's</t>
  </si>
  <si>
    <t>Original</t>
  </si>
  <si>
    <t>4) Total Capital Costs for a range of distances and peak-day flowrates</t>
  </si>
  <si>
    <t>Pipeline Length, km</t>
  </si>
  <si>
    <t>Flowrate</t>
  </si>
  <si>
    <t>15 mcmd</t>
  </si>
  <si>
    <t>12 mcmd</t>
  </si>
  <si>
    <t>10 mcmd</t>
  </si>
  <si>
    <t>7 mcmd</t>
  </si>
  <si>
    <t>5 mcmd</t>
  </si>
  <si>
    <t>4 mcmd</t>
  </si>
  <si>
    <t>3 mcmd</t>
  </si>
  <si>
    <t>2 mcmd</t>
  </si>
  <si>
    <t>1 mcmd</t>
  </si>
  <si>
    <t>0.5 mcmd</t>
  </si>
  <si>
    <t>0.4 mcmd</t>
  </si>
  <si>
    <t>0.3 mcmd</t>
  </si>
  <si>
    <t>0.2 mcmd</t>
  </si>
  <si>
    <t>0.1 mcmd</t>
  </si>
  <si>
    <t xml:space="preserve">6) Annuitised </t>
  </si>
  <si>
    <t>7) Ongoing Costs</t>
  </si>
  <si>
    <t>This includes Gas Control costs and non-distance related annuitised costs</t>
  </si>
  <si>
    <t>Costs in Above Table :-    Non-dist.costs(annuitised) +</t>
  </si>
  <si>
    <t>8) Supply point capacities</t>
  </si>
  <si>
    <t>Pk Day</t>
  </si>
  <si>
    <t>Ln (SOQ)</t>
  </si>
  <si>
    <t>Load Factor =</t>
  </si>
  <si>
    <t>9) Cost per kWh</t>
  </si>
  <si>
    <t>Pence per kWh</t>
  </si>
  <si>
    <t xml:space="preserve">0 km </t>
  </si>
  <si>
    <t>50km</t>
  </si>
  <si>
    <t>10) Function calculation</t>
  </si>
  <si>
    <t>NON-DISTANCE</t>
  </si>
  <si>
    <t>Cost per KWh</t>
  </si>
  <si>
    <t>DISTANCE ELEMENT</t>
  </si>
  <si>
    <t xml:space="preserve">exp </t>
  </si>
  <si>
    <t>11) Function Calculation</t>
  </si>
  <si>
    <t>Title</t>
  </si>
  <si>
    <t>RPI All Items Index: Jan 1987=100</t>
  </si>
  <si>
    <t>CDID</t>
  </si>
  <si>
    <t>CHAW</t>
  </si>
  <si>
    <t>Source dataset ID</t>
  </si>
  <si>
    <t>MM23</t>
  </si>
  <si>
    <t>PreUnit</t>
  </si>
  <si>
    <t/>
  </si>
  <si>
    <t>Unit</t>
  </si>
  <si>
    <t>Index, base year = 100</t>
  </si>
  <si>
    <t>Release date</t>
  </si>
  <si>
    <t>16-01-2019</t>
  </si>
  <si>
    <t>Next release</t>
  </si>
  <si>
    <t>13 February 2019</t>
  </si>
  <si>
    <t>Important notes</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</si>
  <si>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</si>
  <si>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</si>
  <si>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</si>
  <si>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</si>
  <si>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</si>
  <si>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</si>
  <si>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</si>
  <si>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</si>
  <si>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</si>
  <si>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</si>
  <si>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</si>
  <si>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</si>
  <si>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</si>
  <si>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</si>
  <si>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</si>
  <si>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</si>
  <si>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</si>
  <si>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</si>
  <si>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</si>
  <si>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</si>
  <si>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</si>
  <si>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</si>
  <si>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</si>
  <si>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</si>
  <si>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</si>
  <si>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</si>
  <si>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</si>
  <si>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</si>
  <si>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</si>
  <si>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</si>
  <si>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</si>
  <si>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</si>
  <si>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</si>
  <si>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</si>
  <si>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</si>
  <si>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</si>
  <si>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</si>
  <si>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</si>
  <si>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</si>
  <si>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</si>
  <si>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</si>
  <si>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</si>
  <si>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</si>
  <si>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</si>
  <si>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</si>
  <si>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</si>
  <si>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</si>
  <si>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</si>
  <si>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</si>
  <si>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</si>
  <si>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</si>
  <si>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</si>
  <si>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</si>
  <si>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</si>
  <si>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</si>
  <si>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</si>
  <si>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</si>
  <si>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</si>
  <si>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</si>
  <si>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</si>
  <si>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</si>
  <si>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</si>
  <si>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</si>
  <si>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</si>
  <si>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</si>
  <si>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</si>
  <si>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</si>
  <si>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</si>
  <si>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</si>
  <si>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</si>
  <si>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</si>
  <si>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</si>
  <si>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</si>
  <si>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</si>
  <si>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</si>
  <si>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</si>
  <si>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</si>
  <si>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</si>
  <si>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</si>
  <si>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</si>
  <si>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</si>
  <si>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</si>
  <si>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</si>
  <si>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</si>
  <si>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</si>
  <si>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</si>
  <si>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</si>
  <si>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</si>
  <si>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</si>
  <si>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</si>
  <si>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</si>
  <si>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</si>
  <si>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</si>
  <si>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</si>
  <si>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</si>
  <si>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</si>
  <si>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</si>
  <si>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</si>
  <si>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</si>
  <si>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</si>
  <si>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</si>
  <si>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</si>
  <si>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</si>
  <si>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</si>
  <si>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</si>
  <si>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</si>
  <si>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</si>
  <si>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</si>
  <si>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</si>
  <si>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</si>
  <si>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</si>
  <si>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</si>
  <si>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</si>
  <si>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</si>
  <si>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</si>
  <si>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</si>
  <si>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</si>
  <si>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</si>
  <si>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</si>
  <si>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</si>
  <si>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</si>
  <si>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</si>
  <si>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</si>
  <si>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</si>
  <si>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</si>
  <si>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</si>
  <si>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</si>
  <si>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</si>
  <si>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</si>
  <si>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</si>
  <si>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</si>
  <si>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</si>
  <si>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</si>
  <si>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</si>
  <si>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</si>
  <si>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</si>
  <si>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</si>
  <si>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</si>
  <si>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</si>
  <si>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</si>
  <si>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</si>
  <si>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</si>
  <si>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</si>
  <si>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</si>
  <si>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</si>
  <si>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</si>
  <si>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</si>
  <si>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</si>
  <si>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</si>
  <si>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</si>
  <si>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</si>
  <si>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</si>
  <si>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</si>
  <si>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</si>
  <si>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</si>
  <si>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</si>
  <si>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</si>
  <si>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</si>
  <si>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</si>
  <si>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</si>
  <si>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1987 JAN</t>
  </si>
  <si>
    <t>1987 FEB</t>
  </si>
  <si>
    <t>1987 MAR</t>
  </si>
  <si>
    <t>1987 APR</t>
  </si>
  <si>
    <t>1987 MAY</t>
  </si>
  <si>
    <t>1987 JUN</t>
  </si>
  <si>
    <t>1987 JUL</t>
  </si>
  <si>
    <t>1987 AUG</t>
  </si>
  <si>
    <t>1987 SEP</t>
  </si>
  <si>
    <t>1987 OCT</t>
  </si>
  <si>
    <t>1987 NOV</t>
  </si>
  <si>
    <t>1987 DEC</t>
  </si>
  <si>
    <t>1988 JAN</t>
  </si>
  <si>
    <t>1988 FEB</t>
  </si>
  <si>
    <t>1988 MAR</t>
  </si>
  <si>
    <t>1988 APR</t>
  </si>
  <si>
    <t>1988 MAY</t>
  </si>
  <si>
    <t>1988 JUN</t>
  </si>
  <si>
    <t>1988 JUL</t>
  </si>
  <si>
    <t>1988 AUG</t>
  </si>
  <si>
    <t>1988 SEP</t>
  </si>
  <si>
    <t>1988 OCT</t>
  </si>
  <si>
    <t>1988 NOV</t>
  </si>
  <si>
    <t>1988 DEC</t>
  </si>
  <si>
    <t>1989 JAN</t>
  </si>
  <si>
    <t>1989 FEB</t>
  </si>
  <si>
    <t>1989 MAR</t>
  </si>
  <si>
    <t>1989 APR</t>
  </si>
  <si>
    <t>1989 MAY</t>
  </si>
  <si>
    <t>1989 JUN</t>
  </si>
  <si>
    <t>1989 JUL</t>
  </si>
  <si>
    <t>1989 AUG</t>
  </si>
  <si>
    <t>1989 SEP</t>
  </si>
  <si>
    <t>1989 OCT</t>
  </si>
  <si>
    <t>1989 NOV</t>
  </si>
  <si>
    <t>1989 DEC</t>
  </si>
  <si>
    <t>1990 JAN</t>
  </si>
  <si>
    <t>1990 FEB</t>
  </si>
  <si>
    <t>1990 MAR</t>
  </si>
  <si>
    <t>1990 APR</t>
  </si>
  <si>
    <t>1990 MAY</t>
  </si>
  <si>
    <t>1990 JUN</t>
  </si>
  <si>
    <t>1990 JUL</t>
  </si>
  <si>
    <t>1990 AUG</t>
  </si>
  <si>
    <t>1990 SEP</t>
  </si>
  <si>
    <t>1990 OCT</t>
  </si>
  <si>
    <t>1990 NOV</t>
  </si>
  <si>
    <t>1990 DEC</t>
  </si>
  <si>
    <t>1991 JAN</t>
  </si>
  <si>
    <t>1991 FEB</t>
  </si>
  <si>
    <t>1991 MAR</t>
  </si>
  <si>
    <t>1991 APR</t>
  </si>
  <si>
    <t>1991 MAY</t>
  </si>
  <si>
    <t>1991 JUN</t>
  </si>
  <si>
    <t>1991 JUL</t>
  </si>
  <si>
    <t>1991 AUG</t>
  </si>
  <si>
    <t>1991 SEP</t>
  </si>
  <si>
    <t>1991 OCT</t>
  </si>
  <si>
    <t>1991 NOV</t>
  </si>
  <si>
    <t>1991 DEC</t>
  </si>
  <si>
    <t>1992 JAN</t>
  </si>
  <si>
    <t>1992 FEB</t>
  </si>
  <si>
    <t>1992 MAR</t>
  </si>
  <si>
    <t>1992 APR</t>
  </si>
  <si>
    <t>1992 MAY</t>
  </si>
  <si>
    <t>1992 JUN</t>
  </si>
  <si>
    <t>1992 JUL</t>
  </si>
  <si>
    <t>1992 AUG</t>
  </si>
  <si>
    <t>1992 SEP</t>
  </si>
  <si>
    <t>1992 OCT</t>
  </si>
  <si>
    <t>1992 NOV</t>
  </si>
  <si>
    <t>1992 DEC</t>
  </si>
  <si>
    <t>1993 JAN</t>
  </si>
  <si>
    <t>1993 FEB</t>
  </si>
  <si>
    <t>1993 MAR</t>
  </si>
  <si>
    <t>1993 APR</t>
  </si>
  <si>
    <t>1993 MAY</t>
  </si>
  <si>
    <t>1993 JUN</t>
  </si>
  <si>
    <t>1993 JUL</t>
  </si>
  <si>
    <t>1993 AUG</t>
  </si>
  <si>
    <t>1993 SEP</t>
  </si>
  <si>
    <t>1993 OCT</t>
  </si>
  <si>
    <t>1993 NOV</t>
  </si>
  <si>
    <t>1993 DEC</t>
  </si>
  <si>
    <t>1994 JAN</t>
  </si>
  <si>
    <t>1994 FEB</t>
  </si>
  <si>
    <t>1994 MAR</t>
  </si>
  <si>
    <t>1994 APR</t>
  </si>
  <si>
    <t>1994 MAY</t>
  </si>
  <si>
    <t>1994 JUN</t>
  </si>
  <si>
    <t>1994 JUL</t>
  </si>
  <si>
    <t>1994 AUG</t>
  </si>
  <si>
    <t>1994 SEP</t>
  </si>
  <si>
    <t>1994 OCT</t>
  </si>
  <si>
    <t>1994 NOV</t>
  </si>
  <si>
    <t>1994 DEC</t>
  </si>
  <si>
    <t>1995 JAN</t>
  </si>
  <si>
    <t>1995 FEB</t>
  </si>
  <si>
    <t>1995 MAR</t>
  </si>
  <si>
    <t>1995 APR</t>
  </si>
  <si>
    <t>1995 MAY</t>
  </si>
  <si>
    <t>1995 JUN</t>
  </si>
  <si>
    <t>1995 JUL</t>
  </si>
  <si>
    <t>1995 AUG</t>
  </si>
  <si>
    <t>1995 SEP</t>
  </si>
  <si>
    <t>1995 OCT</t>
  </si>
  <si>
    <t>1995 NOV</t>
  </si>
  <si>
    <t>1995 DEC</t>
  </si>
  <si>
    <t>1996 JAN</t>
  </si>
  <si>
    <t>1996 FEB</t>
  </si>
  <si>
    <t>1996 MAR</t>
  </si>
  <si>
    <t>1996 APR</t>
  </si>
  <si>
    <t>1996 MAY</t>
  </si>
  <si>
    <t>1996 JUN</t>
  </si>
  <si>
    <t>1996 JUL</t>
  </si>
  <si>
    <t>1996 AUG</t>
  </si>
  <si>
    <t>1996 SEP</t>
  </si>
  <si>
    <t>1996 OCT</t>
  </si>
  <si>
    <t>1996 NOV</t>
  </si>
  <si>
    <t>1996 DEC</t>
  </si>
  <si>
    <t>1997 JAN</t>
  </si>
  <si>
    <t>1997 FEB</t>
  </si>
  <si>
    <t>1997 MAR</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</si>
  <si>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</si>
  <si>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</si>
  <si>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</si>
  <si>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</si>
  <si>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</si>
  <si>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</si>
  <si>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</si>
  <si>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</si>
  <si>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</si>
  <si>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</si>
  <si>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</si>
  <si>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</si>
  <si>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</si>
  <si>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</si>
  <si>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</si>
  <si>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</si>
  <si>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</si>
  <si>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</si>
  <si>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</si>
  <si>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</si>
  <si>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</si>
  <si>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</si>
  <si>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</si>
  <si>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</si>
  <si>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</si>
  <si>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</si>
  <si>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</si>
  <si>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</si>
  <si>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</si>
  <si>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</si>
  <si>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</si>
  <si>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</si>
  <si>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</si>
  <si>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</si>
  <si>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</si>
  <si>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</si>
  <si>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</si>
  <si>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</si>
  <si>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</si>
  <si>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</si>
  <si>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</si>
  <si>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</si>
  <si>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</si>
  <si>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</si>
  <si>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</si>
  <si>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</si>
  <si>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</si>
  <si>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</si>
  <si>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</si>
  <si>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</si>
  <si>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</si>
  <si>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</si>
  <si>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</si>
  <si>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</si>
  <si>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</si>
  <si>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</si>
  <si>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</si>
  <si>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</si>
  <si>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</si>
  <si>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</si>
  <si>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</si>
  <si>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</si>
  <si>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</si>
  <si>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</si>
  <si>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</si>
  <si>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</si>
  <si>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</si>
  <si>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</si>
  <si>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</si>
  <si>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</si>
  <si>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</si>
  <si>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</si>
  <si>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</si>
  <si>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</si>
  <si>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</si>
  <si>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</si>
  <si>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</si>
  <si>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</si>
  <si>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</si>
  <si>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</si>
  <si>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</si>
  <si>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2004 JAN</t>
  </si>
  <si>
    <t>2004 FEB</t>
  </si>
  <si>
    <t>2004 MAR</t>
  </si>
  <si>
    <t>2004 APR</t>
  </si>
  <si>
    <t>2004 MAY</t>
  </si>
  <si>
    <t>2004 JUN</t>
  </si>
  <si>
    <t>2004 JUL</t>
  </si>
  <si>
    <t>2004 AUG</t>
  </si>
  <si>
    <t>2004 SEP</t>
  </si>
  <si>
    <t>2004 OCT</t>
  </si>
  <si>
    <t>2004 NOV</t>
  </si>
  <si>
    <t>2004 DEC</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</si>
  <si>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</si>
  <si>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</si>
  <si>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</si>
  <si>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</si>
  <si>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</si>
  <si>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</si>
  <si>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</si>
  <si>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</si>
  <si>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</si>
  <si>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</si>
  <si>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</si>
  <si>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</si>
  <si>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</si>
  <si>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</si>
  <si>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</si>
  <si>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</si>
  <si>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</si>
  <si>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</si>
  <si>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</si>
  <si>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</si>
  <si>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</si>
  <si>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</si>
  <si>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</si>
  <si>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</si>
  <si>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</si>
  <si>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</si>
  <si>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</si>
  <si>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</si>
  <si>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</si>
  <si>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</si>
  <si>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</si>
  <si>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</si>
  <si>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</si>
  <si>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</si>
  <si>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</si>
  <si>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</si>
  <si>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</si>
  <si>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</si>
  <si>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</si>
  <si>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</si>
  <si>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</si>
  <si>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</si>
  <si>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</si>
  <si>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</si>
  <si>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</si>
  <si>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</si>
  <si>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</si>
  <si>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</si>
  <si>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</si>
  <si>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</si>
  <si>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</si>
  <si>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</si>
  <si>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</si>
  <si>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</si>
  <si>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</si>
  <si>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</si>
  <si>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</si>
  <si>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</si>
  <si>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</si>
  <si>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</si>
  <si>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</si>
  <si>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</si>
  <si>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</si>
  <si>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</si>
  <si>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</si>
  <si>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</si>
  <si>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</si>
  <si>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</si>
  <si>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</si>
  <si>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</si>
  <si>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</si>
  <si>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</si>
  <si>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</si>
  <si>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</si>
  <si>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</si>
  <si>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</si>
  <si>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</si>
  <si>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</si>
  <si>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</si>
  <si>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</si>
  <si>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</si>
  <si>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</si>
  <si>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</si>
  <si>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</si>
  <si>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</si>
  <si>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</si>
  <si>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</si>
  <si>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</si>
  <si>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</si>
  <si>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</si>
  <si>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</si>
  <si>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</si>
  <si>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</si>
  <si>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</si>
  <si>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</si>
  <si>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</si>
  <si>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</si>
  <si>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</si>
  <si>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</si>
  <si>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</si>
  <si>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</si>
  <si>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</si>
  <si>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</si>
  <si>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</si>
  <si>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</si>
  <si>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</si>
  <si>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</si>
  <si>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</si>
  <si>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</si>
  <si>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</si>
  <si>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</si>
  <si>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</si>
  <si>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</si>
  <si>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</si>
  <si>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</si>
  <si>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</si>
  <si>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</si>
  <si>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</si>
  <si>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</si>
  <si>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</si>
  <si>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</si>
  <si>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</si>
  <si>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</si>
  <si>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</si>
  <si>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</si>
  <si>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</si>
  <si>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</si>
  <si>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</si>
  <si>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</si>
  <si>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</si>
  <si>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</si>
  <si>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</si>
  <si>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</si>
  <si>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</si>
  <si>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</si>
  <si>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</si>
  <si>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</si>
  <si>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</si>
  <si>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</si>
  <si>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</si>
  <si>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</si>
  <si>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</si>
  <si>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</si>
  <si>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</si>
  <si>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</si>
  <si>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</si>
  <si>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</si>
  <si>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</si>
  <si>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</si>
  <si>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</si>
  <si>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</si>
  <si>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</si>
  <si>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</si>
  <si>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</si>
  <si>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</si>
  <si>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</si>
  <si>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</si>
  <si>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</si>
  <si>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</si>
  <si>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</si>
  <si>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</si>
  <si>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</si>
  <si>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</si>
  <si>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</si>
  <si>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</si>
  <si>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</si>
  <si>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</si>
  <si>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</si>
  <si>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(Base for 9/10 inflation)</t>
  </si>
  <si>
    <t>18/19 Prices</t>
  </si>
  <si>
    <t>18/19 Unit Costs</t>
  </si>
  <si>
    <t>Conversion factor (mcmd to kWh) =</t>
  </si>
  <si>
    <r>
      <t>CV assumption (MJ/M</t>
    </r>
    <r>
      <rPr>
        <vertAlign val="superscript"/>
        <sz val="12"/>
        <rFont val="Arial"/>
        <family val="2"/>
      </rPr>
      <t>3</t>
    </r>
    <r>
      <rPr>
        <sz val="12"/>
        <rFont val="Arial"/>
        <family val="2"/>
      </rPr>
      <t>) =</t>
    </r>
  </si>
  <si>
    <t xml:space="preserve">50 km less 0 km </t>
  </si>
  <si>
    <t>LN functions</t>
  </si>
  <si>
    <t xml:space="preserve">from </t>
  </si>
  <si>
    <t>https://www.ons.gov.uk/economy/inflationandpriceindices/timeseries/chaw/mm23</t>
  </si>
  <si>
    <t>1% of the pipeline capital costs is added to all the distance and flow rate combinations</t>
  </si>
  <si>
    <t>2.5% of the non-distance capital cost is added to all the distance and flow rate combinations</t>
  </si>
  <si>
    <t>AQ (GWh)</t>
  </si>
  <si>
    <t>SOQ (KWh/d)</t>
  </si>
  <si>
    <t>2019 JAN</t>
  </si>
  <si>
    <t>Inflation comparison</t>
  </si>
  <si>
    <t>RPI</t>
  </si>
  <si>
    <t>2018/19 average</t>
  </si>
  <si>
    <t>(Base for 1998/9 inflation)</t>
  </si>
  <si>
    <t>Original price base (1998/9 prices)</t>
  </si>
  <si>
    <t>2019 FEB</t>
  </si>
  <si>
    <t>2019 MAR</t>
  </si>
  <si>
    <t>(18/19 figure)</t>
  </si>
  <si>
    <t>JAN to FEB Inflation</t>
  </si>
  <si>
    <t>March data forecast on previous month</t>
  </si>
  <si>
    <t>= 10yr discount factor</t>
  </si>
  <si>
    <t>5) 10 Year Discount Factor</t>
  </si>
  <si>
    <t>1998/99 to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</si>
</sst>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64" formatCode="&quot;£&quot;#,##0"/>
    <numFmt numFmtId="165" formatCode="0.000000000"/>
    <numFmt numFmtId="166" formatCode="&quot;£&quot;#,##0.00"/>
    <numFmt numFmtId="167" formatCode="0.00000"/>
    <numFmt numFmtId="168" formatCode="0.0000"/>
    <numFmt numFmtId="169" formatCode="0.0"/>
    <numFmt numFmtId="170" formatCode="#,##0.0"/>
    <numFmt numFmtId="171" formatCode="#,##0.000"/>
  </numFmts>
  <fonts count="14" x14ac:knownFonts="1">
    <font>
      <sz val="11"/>
      <color theme="1"/>
      <name val="Calibri"/>
      <family val="2"/>
      <scheme val="minor"/>
    </font>
    <font>
      <sz val="12"/>
      <name val="Arial"/>
      <family val="2"/>
    </font>
    <font>
      <b/>
      <sz val="12"/>
      <name val="Arial"/>
      <family val="2"/>
    </font>
    <font>
      <sz val="11"/>
      <name val="Arial"/>
      <family val="2"/>
    </font>
    <font>
      <sz val="28"/>
      <name val="Arial"/>
      <family val="2"/>
    </font>
    <font>
      <sz val="10"/>
      <name val="Arial"/>
      <family val="2"/>
    </font>
    <font>
      <sz val="10"/>
      <color rgb="FFFF0000"/>
      <name val="Arial"/>
      <family val="2"/>
    </font>
    <font>
      <u/>
      <sz val="11"/>
      <color theme="10"/>
      <name val="Calibri"/>
      <family val="2"/>
      <scheme val="minor"/>
    </font>
    <font>
      <vertAlign val="superscript"/>
      <sz val="12"/>
      <name val="Arial"/>
      <family val="2"/>
    </font>
    <font>
      <sz val="12"/>
      <color theme="0"/>
      <name val="Arial"/>
      <family val="2"/>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auto="1"/>
      </right>
      <top/>
      <bottom style="medium">
        <color auto="1"/>
      </bottom>
      <diagonal/>
    </border>
  </borders>
  <cellStyleXfs count="6">
    <xf numFmtId="0" fontId="0" fillId="0" borderId="0"/>
    <xf numFmtId="164" fontId="1" fillId="0" borderId="0"/>
    <xf numFmtId="0" fontId="5" fillId="0" borderId="0"/>
    <xf numFmtId="0" fontId="7" fillId="0" borderId="0" applyNumberFormat="0" applyFill="0" applyBorder="0" applyAlignment="0" applyProtection="0"/>
    <xf numFmtId="9" fontId="10" fillId="0" borderId="0" applyFont="0" applyFill="0" applyBorder="0" applyAlignment="0" applyProtection="0"/>
    <xf numFmtId="0" fontId="12" fillId="0" borderId="0"/>
  </cellStyleXfs>
  <cellXfs count="166">
    <xf numFmtId="0" fontId="0" fillId="0" borderId="0" xfId="0"/>
    <xf numFmtId="0" fontId="2" fillId="0" borderId="0" xfId="1" applyNumberFormat="1" applyFont="1" applyFill="1" applyBorder="1" applyAlignment="1">
      <alignment horizontal="left"/>
    </xf>
    <xf numFmtId="0" fontId="1" fillId="0" borderId="0" xfId="1" applyNumberFormat="1" applyFont="1" applyFill="1" applyBorder="1" applyAlignment="1" applyProtection="1">
      <alignment horizontal="left"/>
      <protection locked="0"/>
    </xf>
    <xf numFmtId="0" fontId="2" fillId="0" borderId="0" xfId="1" applyNumberFormat="1" applyFont="1" applyFill="1" applyBorder="1" applyAlignment="1">
      <alignment horizontal="center"/>
    </xf>
    <xf numFmtId="0" fontId="1" fillId="0" borderId="0" xfId="1" applyNumberFormat="1" applyFont="1" applyFill="1" applyBorder="1" applyAlignment="1" applyProtection="1">
      <alignment horizontal="center"/>
      <protection locked="0"/>
    </xf>
    <xf numFmtId="1" fontId="1" fillId="0" borderId="0" xfId="1" applyNumberFormat="1" applyFont="1" applyFill="1" applyBorder="1" applyAlignment="1">
      <alignment horizontal="center"/>
    </xf>
    <xf numFmtId="3" fontId="1" fillId="0" borderId="0" xfId="1" applyNumberFormat="1" applyFill="1" applyBorder="1" applyAlignment="1">
      <alignment horizontal="center"/>
    </xf>
    <xf numFmtId="1" fontId="1" fillId="0" borderId="0" xfId="1" applyNumberFormat="1" applyFont="1" applyFill="1" applyBorder="1" applyAlignment="1" applyProtection="1">
      <alignment horizontal="center"/>
      <protection locked="0"/>
    </xf>
    <xf numFmtId="0" fontId="1" fillId="0" borderId="0" xfId="1" applyNumberFormat="1" applyFont="1" applyFill="1" applyBorder="1" applyAlignment="1">
      <alignment horizontal="center"/>
    </xf>
    <xf numFmtId="0" fontId="1" fillId="0" borderId="0" xfId="1" applyNumberFormat="1" applyFill="1" applyBorder="1" applyAlignment="1">
      <alignment horizontal="center"/>
    </xf>
    <xf numFmtId="4" fontId="1" fillId="0" borderId="0" xfId="1" applyNumberFormat="1" applyFont="1" applyFill="1" applyBorder="1" applyAlignment="1">
      <alignment horizontal="center"/>
    </xf>
    <xf numFmtId="0" fontId="1" fillId="0" borderId="1" xfId="1" applyNumberFormat="1" applyFont="1" applyFill="1" applyBorder="1" applyAlignment="1" applyProtection="1">
      <alignment horizontal="left"/>
      <protection locked="0"/>
    </xf>
    <xf numFmtId="3" fontId="1" fillId="0" borderId="1" xfId="1" applyNumberFormat="1" applyFill="1" applyBorder="1" applyAlignment="1">
      <alignment horizontal="left"/>
    </xf>
    <xf numFmtId="0" fontId="2" fillId="0" borderId="1" xfId="1" applyNumberFormat="1" applyFont="1" applyFill="1" applyBorder="1" applyAlignment="1" applyProtection="1">
      <alignment horizontal="center"/>
      <protection locked="0"/>
    </xf>
    <xf numFmtId="0" fontId="2" fillId="0" borderId="1" xfId="1" applyNumberFormat="1" applyFont="1" applyFill="1" applyBorder="1" applyAlignment="1"/>
    <xf numFmtId="0" fontId="1" fillId="0" borderId="0" xfId="1" applyNumberFormat="1" applyFont="1" applyFill="1" applyBorder="1" applyAlignment="1">
      <alignment horizontal="left"/>
    </xf>
    <xf numFmtId="4" fontId="1" fillId="0" borderId="0" xfId="1" applyNumberFormat="1" applyFont="1" applyFill="1" applyBorder="1" applyAlignment="1">
      <alignment horizontal="left"/>
    </xf>
    <xf numFmtId="0" fontId="1" fillId="0" borderId="0" xfId="1" applyNumberFormat="1" applyFill="1" applyBorder="1" applyAlignment="1">
      <alignment horizontal="left"/>
    </xf>
    <xf numFmtId="3" fontId="1" fillId="0" borderId="1" xfId="1" applyNumberFormat="1" applyFill="1" applyBorder="1" applyAlignment="1">
      <alignment horizontal="center"/>
    </xf>
    <xf numFmtId="0" fontId="2" fillId="0" borderId="1" xfId="1" applyNumberFormat="1" applyFont="1" applyFill="1" applyBorder="1" applyAlignment="1">
      <alignment horizontal="center"/>
    </xf>
    <xf numFmtId="165" fontId="1" fillId="0" borderId="1" xfId="1" applyNumberFormat="1" applyFont="1" applyFill="1" applyBorder="1" applyAlignment="1" applyProtection="1">
      <alignment horizontal="center"/>
      <protection locked="0"/>
    </xf>
    <xf numFmtId="0" fontId="1" fillId="0" borderId="1" xfId="1" applyNumberFormat="1" applyFont="1" applyFill="1" applyBorder="1" applyAlignment="1" applyProtection="1">
      <alignment horizontal="center"/>
      <protection locked="0"/>
    </xf>
    <xf numFmtId="3" fontId="1" fillId="0" borderId="0" xfId="1" applyNumberFormat="1" applyFont="1" applyFill="1" applyBorder="1" applyAlignment="1" applyProtection="1">
      <alignment horizontal="center"/>
      <protection locked="0"/>
    </xf>
    <xf numFmtId="166" fontId="1" fillId="0" borderId="0" xfId="1" applyNumberFormat="1" applyFont="1" applyFill="1" applyBorder="1" applyAlignment="1" applyProtection="1">
      <alignment horizontal="center"/>
      <protection locked="0"/>
    </xf>
    <xf numFmtId="0" fontId="2" fillId="0" borderId="0" xfId="1" applyNumberFormat="1" applyFont="1" applyFill="1" applyBorder="1" applyAlignment="1" applyProtection="1">
      <alignment horizontal="left"/>
      <protection locked="0"/>
    </xf>
    <xf numFmtId="0" fontId="2" fillId="0" borderId="0" xfId="1" applyNumberFormat="1" applyFont="1" applyFill="1" applyBorder="1" applyAlignment="1" applyProtection="1">
      <alignment horizontal="center"/>
      <protection locked="0"/>
    </xf>
    <xf numFmtId="3" fontId="1" fillId="0" borderId="0" xfId="1" applyNumberFormat="1" applyFont="1" applyFill="1" applyBorder="1" applyAlignment="1">
      <alignment horizontal="center"/>
    </xf>
    <xf numFmtId="3" fontId="2" fillId="0" borderId="0" xfId="1" applyNumberFormat="1" applyFont="1" applyFill="1" applyBorder="1" applyAlignment="1">
      <alignment horizontal="center"/>
    </xf>
    <xf numFmtId="16" fontId="2" fillId="0" borderId="1" xfId="1" applyNumberFormat="1" applyFont="1" applyFill="1" applyBorder="1" applyAlignment="1" applyProtection="1">
      <alignment horizontal="left"/>
      <protection locked="0"/>
    </xf>
    <xf numFmtId="0" fontId="2" fillId="0" borderId="1" xfId="1" applyNumberFormat="1" applyFont="1" applyFill="1" applyBorder="1" applyAlignment="1" applyProtection="1">
      <alignment horizontal="left"/>
      <protection locked="0"/>
    </xf>
    <xf numFmtId="165" fontId="2" fillId="0" borderId="1" xfId="1" applyNumberFormat="1" applyFont="1" applyFill="1" applyBorder="1" applyAlignment="1" applyProtection="1">
      <alignment horizontal="center"/>
      <protection locked="0"/>
    </xf>
    <xf numFmtId="3" fontId="3" fillId="0" borderId="1" xfId="1" applyNumberFormat="1" applyFont="1" applyBorder="1" applyAlignment="1">
      <alignment horizontal="center"/>
    </xf>
    <xf numFmtId="3" fontId="1" fillId="0" borderId="1" xfId="1" applyNumberFormat="1" applyFont="1" applyFill="1" applyBorder="1" applyAlignment="1" applyProtection="1">
      <alignment horizontal="center"/>
      <protection locked="0"/>
    </xf>
    <xf numFmtId="3" fontId="3" fillId="0" borderId="0" xfId="1" applyNumberFormat="1" applyFont="1" applyBorder="1" applyAlignment="1">
      <alignment horizontal="center"/>
    </xf>
    <xf numFmtId="3" fontId="1" fillId="0" borderId="0" xfId="1" applyNumberFormat="1" applyFill="1" applyBorder="1" applyAlignment="1">
      <alignment horizontal="left"/>
    </xf>
    <xf numFmtId="3" fontId="1" fillId="0" borderId="0" xfId="1" applyNumberFormat="1" applyFont="1" applyFill="1" applyBorder="1" applyAlignment="1">
      <alignment horizontal="left"/>
    </xf>
    <xf numFmtId="164" fontId="1" fillId="0" borderId="0" xfId="1" applyFont="1" applyFill="1" applyBorder="1" applyAlignment="1">
      <alignment horizontal="center"/>
    </xf>
    <xf numFmtId="164" fontId="1" fillId="0" borderId="0" xfId="1" applyNumberFormat="1" applyFont="1" applyFill="1" applyBorder="1" applyAlignment="1">
      <alignment horizontal="center"/>
    </xf>
    <xf numFmtId="2" fontId="2" fillId="0" borderId="0" xfId="1" applyNumberFormat="1" applyFont="1" applyFill="1" applyBorder="1" applyAlignment="1">
      <alignment horizontal="center"/>
    </xf>
    <xf numFmtId="164" fontId="2" fillId="0" borderId="0" xfId="1" applyFont="1" applyFill="1" applyBorder="1" applyAlignment="1">
      <alignment horizontal="center"/>
    </xf>
    <xf numFmtId="164" fontId="2" fillId="0" borderId="0" xfId="1" applyFont="1" applyFill="1" applyBorder="1" applyAlignment="1"/>
    <xf numFmtId="164" fontId="1" fillId="0" borderId="4" xfId="1" applyFont="1" applyFill="1" applyBorder="1" applyAlignment="1">
      <alignment horizontal="center"/>
    </xf>
    <xf numFmtId="164" fontId="1" fillId="0" borderId="5" xfId="1" applyFont="1" applyFill="1" applyBorder="1" applyAlignment="1">
      <alignment horizontal="center"/>
    </xf>
    <xf numFmtId="164" fontId="1" fillId="0" borderId="6" xfId="1" applyFont="1" applyFill="1" applyBorder="1" applyAlignment="1">
      <alignment horizontal="center"/>
    </xf>
    <xf numFmtId="0" fontId="1" fillId="0" borderId="7" xfId="1" applyNumberFormat="1" applyFont="1" applyFill="1" applyBorder="1" applyAlignment="1">
      <alignment horizontal="left"/>
    </xf>
    <xf numFmtId="164" fontId="1" fillId="0" borderId="8" xfId="1" applyFont="1" applyFill="1" applyBorder="1" applyAlignment="1">
      <alignment horizontal="center"/>
    </xf>
    <xf numFmtId="0" fontId="1" fillId="0" borderId="7" xfId="1" applyNumberFormat="1" applyFont="1" applyFill="1" applyBorder="1" applyAlignment="1" applyProtection="1">
      <alignment horizontal="center"/>
      <protection locked="0"/>
    </xf>
    <xf numFmtId="0" fontId="1" fillId="0" borderId="8" xfId="1" applyNumberFormat="1" applyFont="1" applyFill="1" applyBorder="1" applyAlignment="1" applyProtection="1">
      <alignment horizontal="center"/>
      <protection locked="0"/>
    </xf>
    <xf numFmtId="0" fontId="1" fillId="0" borderId="0" xfId="1" applyNumberFormat="1" applyFont="1" applyFill="1" applyBorder="1" applyAlignment="1" applyProtection="1">
      <protection locked="0"/>
    </xf>
    <xf numFmtId="164" fontId="1" fillId="0" borderId="9" xfId="1" applyFont="1" applyFill="1" applyBorder="1" applyAlignment="1">
      <alignment horizontal="center"/>
    </xf>
    <xf numFmtId="164" fontId="1" fillId="0" borderId="10" xfId="1" applyFont="1" applyFill="1" applyBorder="1" applyAlignment="1">
      <alignment horizontal="center"/>
    </xf>
    <xf numFmtId="164" fontId="1" fillId="0" borderId="11" xfId="1" applyFont="1" applyFill="1" applyBorder="1" applyAlignment="1">
      <alignment horizontal="center"/>
    </xf>
    <xf numFmtId="0" fontId="2" fillId="0" borderId="4" xfId="1" applyNumberFormat="1" applyFont="1" applyFill="1" applyBorder="1" applyAlignment="1">
      <alignment horizontal="center"/>
    </xf>
    <xf numFmtId="0" fontId="2" fillId="0" borderId="5" xfId="1" applyNumberFormat="1" applyFont="1" applyFill="1" applyBorder="1" applyAlignment="1">
      <alignment horizontal="center"/>
    </xf>
    <xf numFmtId="0" fontId="2" fillId="0" borderId="5" xfId="1" applyNumberFormat="1" applyFont="1" applyFill="1" applyBorder="1" applyAlignment="1"/>
    <xf numFmtId="0" fontId="1" fillId="0" borderId="5" xfId="1" applyNumberFormat="1" applyFill="1" applyBorder="1" applyAlignment="1">
      <alignment horizontal="center"/>
    </xf>
    <xf numFmtId="0" fontId="1" fillId="0" borderId="6" xfId="1" applyNumberFormat="1" applyFill="1" applyBorder="1" applyAlignment="1">
      <alignment horizontal="center"/>
    </xf>
    <xf numFmtId="0" fontId="1" fillId="0" borderId="8" xfId="1" applyNumberFormat="1" applyFill="1" applyBorder="1" applyAlignment="1">
      <alignment horizontal="center"/>
    </xf>
    <xf numFmtId="0" fontId="2" fillId="0" borderId="7" xfId="1" applyNumberFormat="1" applyFont="1" applyFill="1" applyBorder="1" applyAlignment="1">
      <alignment horizontal="center"/>
    </xf>
    <xf numFmtId="1" fontId="1" fillId="0" borderId="0" xfId="1" applyNumberFormat="1" applyFill="1" applyBorder="1" applyAlignment="1">
      <alignment horizontal="center"/>
    </xf>
    <xf numFmtId="6" fontId="1" fillId="0" borderId="0" xfId="1" applyNumberFormat="1" applyFont="1" applyFill="1" applyBorder="1" applyAlignment="1" applyProtection="1">
      <alignment horizontal="left"/>
      <protection locked="0"/>
    </xf>
    <xf numFmtId="6" fontId="1" fillId="0" borderId="0" xfId="1" applyNumberFormat="1" applyFont="1" applyFill="1" applyBorder="1" applyAlignment="1" applyProtection="1">
      <protection locked="0"/>
    </xf>
    <xf numFmtId="9" fontId="1" fillId="0" borderId="8" xfId="1" applyNumberFormat="1" applyFill="1" applyBorder="1" applyAlignment="1">
      <alignment horizontal="center"/>
    </xf>
    <xf numFmtId="0" fontId="2" fillId="0" borderId="9" xfId="1" applyNumberFormat="1" applyFont="1" applyFill="1" applyBorder="1" applyAlignment="1">
      <alignment horizontal="center"/>
    </xf>
    <xf numFmtId="3" fontId="1" fillId="0" borderId="10" xfId="1" applyNumberFormat="1" applyFill="1" applyBorder="1" applyAlignment="1">
      <alignment horizontal="center"/>
    </xf>
    <xf numFmtId="1" fontId="1" fillId="0" borderId="10" xfId="1" applyNumberFormat="1" applyFont="1" applyFill="1" applyBorder="1" applyAlignment="1" applyProtection="1">
      <alignment horizontal="center"/>
      <protection locked="0"/>
    </xf>
    <xf numFmtId="1" fontId="1" fillId="0" borderId="10" xfId="1" applyNumberFormat="1" applyFill="1" applyBorder="1" applyAlignment="1">
      <alignment horizontal="center"/>
    </xf>
    <xf numFmtId="0" fontId="1" fillId="0" borderId="10" xfId="1" applyNumberFormat="1" applyFont="1" applyFill="1" applyBorder="1" applyAlignment="1" applyProtection="1">
      <alignment horizontal="center"/>
      <protection locked="0"/>
    </xf>
    <xf numFmtId="0" fontId="1" fillId="0" borderId="11" xfId="1" applyNumberFormat="1" applyFont="1" applyFill="1" applyBorder="1" applyAlignment="1" applyProtection="1">
      <alignment horizontal="center"/>
      <protection locked="0"/>
    </xf>
    <xf numFmtId="167" fontId="1" fillId="0" borderId="0" xfId="1" applyNumberFormat="1" applyFill="1" applyBorder="1" applyAlignment="1">
      <alignment horizontal="center"/>
    </xf>
    <xf numFmtId="168" fontId="1" fillId="0" borderId="0" xfId="1" applyNumberFormat="1" applyFill="1" applyBorder="1" applyAlignment="1">
      <alignment horizontal="center"/>
    </xf>
    <xf numFmtId="168" fontId="1" fillId="0" borderId="0" xfId="1" applyNumberFormat="1" applyFont="1" applyFill="1" applyBorder="1" applyAlignment="1">
      <alignment horizontal="center"/>
    </xf>
    <xf numFmtId="3" fontId="1" fillId="0" borderId="0" xfId="1" applyNumberFormat="1" applyFont="1" applyFill="1" applyBorder="1"/>
    <xf numFmtId="3" fontId="1" fillId="0" borderId="0" xfId="1" applyNumberFormat="1" applyFont="1" applyFill="1"/>
    <xf numFmtId="2" fontId="1" fillId="0" borderId="0" xfId="1" applyNumberFormat="1" applyFont="1" applyFill="1"/>
    <xf numFmtId="0" fontId="1" fillId="0" borderId="0" xfId="1" applyNumberFormat="1" applyFont="1" applyFill="1" applyAlignment="1" applyProtection="1">
      <protection locked="0"/>
    </xf>
    <xf numFmtId="0" fontId="1" fillId="0" borderId="0" xfId="0" applyFont="1" applyFill="1" applyAlignment="1"/>
    <xf numFmtId="0" fontId="1" fillId="0" borderId="0" xfId="0" applyFont="1" applyAlignment="1"/>
    <xf numFmtId="0" fontId="2" fillId="0" borderId="0" xfId="1" applyNumberFormat="1" applyFont="1" applyFill="1" applyAlignment="1" applyProtection="1">
      <alignment horizontal="center"/>
      <protection locked="0"/>
    </xf>
    <xf numFmtId="0" fontId="2" fillId="3" borderId="0" xfId="0" applyFont="1" applyFill="1" applyAlignment="1"/>
    <xf numFmtId="0" fontId="1" fillId="3" borderId="0" xfId="0" applyFont="1" applyFill="1" applyAlignment="1"/>
    <xf numFmtId="2" fontId="2" fillId="3" borderId="0" xfId="0" applyNumberFormat="1" applyFont="1" applyFill="1" applyAlignment="1"/>
    <xf numFmtId="0" fontId="1" fillId="3" borderId="0" xfId="0" applyFont="1" applyFill="1" applyBorder="1" applyAlignment="1"/>
    <xf numFmtId="0" fontId="2" fillId="3" borderId="0" xfId="0" applyFont="1" applyFill="1" applyBorder="1" applyAlignment="1"/>
    <xf numFmtId="0" fontId="2" fillId="3" borderId="12" xfId="1" applyNumberFormat="1" applyFont="1" applyFill="1" applyBorder="1" applyAlignment="1"/>
    <xf numFmtId="0" fontId="2" fillId="3" borderId="13" xfId="1" applyNumberFormat="1" applyFont="1" applyFill="1" applyBorder="1" applyAlignment="1"/>
    <xf numFmtId="3" fontId="1" fillId="3" borderId="0" xfId="1" applyNumberFormat="1" applyFont="1" applyFill="1"/>
    <xf numFmtId="2" fontId="1" fillId="3" borderId="0" xfId="1" applyNumberFormat="1" applyFont="1" applyFill="1"/>
    <xf numFmtId="0" fontId="1" fillId="3" borderId="0" xfId="1" applyNumberFormat="1" applyFont="1" applyFill="1" applyAlignment="1" applyProtection="1">
      <protection locked="0"/>
    </xf>
    <xf numFmtId="0" fontId="1" fillId="3" borderId="0" xfId="0" applyFont="1" applyFill="1" applyAlignment="1">
      <alignment horizontal="left"/>
    </xf>
    <xf numFmtId="0" fontId="1" fillId="0" borderId="13" xfId="1" applyNumberFormat="1" applyFont="1" applyFill="1" applyBorder="1" applyAlignment="1" applyProtection="1">
      <alignment horizontal="center"/>
      <protection locked="0"/>
    </xf>
    <xf numFmtId="3" fontId="1" fillId="3" borderId="13" xfId="1" applyNumberFormat="1" applyFont="1" applyFill="1" applyBorder="1"/>
    <xf numFmtId="0" fontId="1" fillId="3" borderId="13" xfId="1" applyNumberFormat="1" applyFont="1" applyFill="1" applyBorder="1" applyAlignment="1"/>
    <xf numFmtId="167" fontId="1" fillId="3" borderId="13" xfId="1" applyNumberFormat="1" applyFont="1" applyFill="1" applyBorder="1"/>
    <xf numFmtId="0" fontId="1" fillId="3" borderId="0" xfId="0" applyFont="1" applyFill="1" applyBorder="1"/>
    <xf numFmtId="0" fontId="1" fillId="3" borderId="0" xfId="0" applyFont="1" applyFill="1" applyBorder="1" applyAlignment="1">
      <alignment horizontal="right"/>
    </xf>
    <xf numFmtId="0" fontId="1" fillId="3" borderId="0" xfId="1" applyNumberFormat="1" applyFont="1" applyFill="1" applyBorder="1" applyAlignment="1" applyProtection="1">
      <protection locked="0"/>
    </xf>
    <xf numFmtId="0" fontId="2" fillId="3" borderId="0" xfId="1" applyNumberFormat="1" applyFont="1" applyFill="1" applyBorder="1" applyAlignment="1" applyProtection="1">
      <alignment horizontal="center"/>
      <protection locked="0"/>
    </xf>
    <xf numFmtId="0" fontId="2" fillId="3" borderId="0" xfId="1" applyNumberFormat="1" applyFont="1" applyFill="1" applyAlignment="1" applyProtection="1">
      <alignment horizontal="center"/>
      <protection locked="0"/>
    </xf>
    <xf numFmtId="0" fontId="2" fillId="3" borderId="0" xfId="1" applyNumberFormat="1" applyFont="1" applyFill="1" applyAlignment="1">
      <alignment horizontal="center"/>
    </xf>
    <xf numFmtId="0" fontId="1" fillId="0" borderId="15" xfId="1" applyNumberFormat="1" applyFont="1" applyFill="1" applyBorder="1" applyAlignment="1" applyProtection="1">
      <alignment horizontal="center"/>
      <protection locked="0"/>
    </xf>
    <xf numFmtId="0" fontId="2" fillId="3" borderId="0" xfId="1" applyNumberFormat="1" applyFont="1" applyFill="1" applyBorder="1" applyAlignment="1" applyProtection="1">
      <alignment horizontal="left"/>
      <protection locked="0"/>
    </xf>
    <xf numFmtId="1" fontId="1" fillId="3" borderId="14" xfId="0" applyNumberFormat="1" applyFont="1" applyFill="1" applyBorder="1" applyAlignment="1"/>
    <xf numFmtId="0" fontId="1" fillId="3" borderId="15" xfId="0" applyFont="1" applyFill="1" applyBorder="1" applyAlignment="1"/>
    <xf numFmtId="2" fontId="1" fillId="3" borderId="0" xfId="0" applyNumberFormat="1" applyFont="1" applyFill="1" applyAlignment="1"/>
    <xf numFmtId="0" fontId="2" fillId="0" borderId="0" xfId="0" applyFont="1" applyFill="1" applyAlignment="1"/>
    <xf numFmtId="2" fontId="2" fillId="0" borderId="0" xfId="0" applyNumberFormat="1" applyFont="1" applyFill="1" applyAlignment="1"/>
    <xf numFmtId="0" fontId="2" fillId="0" borderId="0" xfId="0" applyFont="1" applyFill="1" applyBorder="1"/>
    <xf numFmtId="0" fontId="2" fillId="0" borderId="12" xfId="1" applyNumberFormat="1" applyFont="1" applyFill="1" applyBorder="1" applyAlignment="1"/>
    <xf numFmtId="0" fontId="2" fillId="0" borderId="13" xfId="1" applyNumberFormat="1" applyFont="1" applyFill="1" applyBorder="1" applyAlignment="1"/>
    <xf numFmtId="0" fontId="1" fillId="0" borderId="0" xfId="0" applyFont="1" applyFill="1" applyBorder="1" applyAlignment="1"/>
    <xf numFmtId="3" fontId="1" fillId="0" borderId="13" xfId="1" applyNumberFormat="1" applyFont="1" applyFill="1" applyBorder="1"/>
    <xf numFmtId="167" fontId="1" fillId="0" borderId="13" xfId="1" applyNumberFormat="1" applyFont="1" applyFill="1" applyBorder="1"/>
    <xf numFmtId="0" fontId="2" fillId="0" borderId="0" xfId="0" applyFont="1" applyFill="1" applyBorder="1" applyAlignment="1"/>
    <xf numFmtId="0" fontId="1" fillId="0" borderId="0" xfId="0" applyFont="1" applyFill="1" applyBorder="1"/>
    <xf numFmtId="0" fontId="1" fillId="0" borderId="0" xfId="0" applyFont="1" applyFill="1" applyBorder="1" applyAlignment="1">
      <alignment horizontal="right"/>
    </xf>
    <xf numFmtId="0" fontId="1" fillId="0" borderId="0" xfId="1" applyNumberFormat="1" applyFont="1" applyFill="1" applyAlignment="1"/>
    <xf numFmtId="167" fontId="1" fillId="0" borderId="0" xfId="1" applyNumberFormat="1" applyFont="1" applyFill="1"/>
    <xf numFmtId="3" fontId="1" fillId="0" borderId="4" xfId="1" applyNumberFormat="1" applyFont="1" applyFill="1" applyBorder="1"/>
    <xf numFmtId="0" fontId="1" fillId="0" borderId="5" xfId="0" applyFont="1" applyFill="1" applyBorder="1" applyAlignment="1"/>
    <xf numFmtId="0" fontId="1" fillId="0" borderId="6" xfId="0" applyFont="1" applyFill="1" applyBorder="1" applyAlignment="1"/>
    <xf numFmtId="3" fontId="1" fillId="0" borderId="7" xfId="1" applyNumberFormat="1" applyFont="1" applyFill="1" applyBorder="1"/>
    <xf numFmtId="0" fontId="1" fillId="0" borderId="8" xfId="0" applyFont="1" applyFill="1" applyBorder="1" applyAlignment="1"/>
    <xf numFmtId="0" fontId="4" fillId="0" borderId="0" xfId="0" applyFont="1" applyFill="1" applyBorder="1" applyAlignment="1">
      <alignment horizontal="left"/>
    </xf>
    <xf numFmtId="0" fontId="4" fillId="0" borderId="0" xfId="0" applyFont="1" applyFill="1" applyBorder="1" applyAlignment="1"/>
    <xf numFmtId="0" fontId="1" fillId="0" borderId="9" xfId="1" applyNumberFormat="1" applyFont="1" applyFill="1" applyBorder="1" applyAlignment="1" applyProtection="1">
      <alignment horizontal="center"/>
      <protection locked="0"/>
    </xf>
    <xf numFmtId="0" fontId="1" fillId="0" borderId="10" xfId="0" applyFont="1" applyFill="1" applyBorder="1" applyAlignment="1"/>
    <xf numFmtId="16" fontId="2" fillId="0" borderId="0" xfId="1" applyNumberFormat="1" applyFont="1" applyFill="1" applyBorder="1" applyAlignment="1" applyProtection="1">
      <alignment horizontal="left"/>
      <protection locked="0"/>
    </xf>
    <xf numFmtId="165" fontId="1" fillId="0" borderId="0" xfId="1" applyNumberFormat="1" applyFont="1" applyFill="1" applyBorder="1" applyAlignment="1" applyProtection="1">
      <alignment horizontal="center"/>
      <protection locked="0"/>
    </xf>
    <xf numFmtId="0" fontId="5" fillId="0" borderId="0" xfId="2"/>
    <xf numFmtId="169" fontId="5" fillId="0" borderId="0" xfId="2" applyNumberFormat="1"/>
    <xf numFmtId="169" fontId="0" fillId="0" borderId="0" xfId="0" applyNumberFormat="1"/>
    <xf numFmtId="0" fontId="6" fillId="0" borderId="0" xfId="2" applyFont="1"/>
    <xf numFmtId="169" fontId="6" fillId="0" borderId="0" xfId="2" applyNumberFormat="1" applyFont="1"/>
    <xf numFmtId="2" fontId="9" fillId="3" borderId="0" xfId="0" applyNumberFormat="1" applyFont="1" applyFill="1" applyAlignment="1"/>
    <xf numFmtId="2" fontId="1" fillId="0" borderId="15" xfId="1" applyNumberFormat="1" applyFont="1" applyFill="1" applyBorder="1" applyAlignment="1" applyProtection="1">
      <alignment horizontal="center"/>
      <protection locked="0"/>
    </xf>
    <xf numFmtId="2" fontId="1" fillId="0" borderId="14" xfId="0" applyNumberFormat="1" applyFont="1" applyFill="1" applyBorder="1" applyAlignment="1"/>
    <xf numFmtId="0" fontId="7" fillId="0" borderId="0" xfId="3"/>
    <xf numFmtId="166" fontId="9" fillId="0" borderId="0" xfId="1" applyNumberFormat="1" applyFont="1" applyFill="1" applyBorder="1" applyAlignment="1" applyProtection="1">
      <alignment horizontal="center"/>
      <protection locked="0"/>
    </xf>
    <xf numFmtId="2" fontId="0" fillId="0" borderId="0" xfId="0" applyNumberFormat="1"/>
    <xf numFmtId="170" fontId="1" fillId="0" borderId="13" xfId="1" applyNumberFormat="1" applyFont="1" applyFill="1" applyBorder="1"/>
    <xf numFmtId="170" fontId="1" fillId="3" borderId="13" xfId="1" applyNumberFormat="1" applyFont="1" applyFill="1" applyBorder="1"/>
    <xf numFmtId="9" fontId="0" fillId="0" borderId="0" xfId="4" applyFont="1"/>
    <xf numFmtId="171" fontId="1" fillId="3" borderId="13" xfId="1" applyNumberFormat="1" applyFont="1" applyFill="1" applyBorder="1"/>
    <xf numFmtId="0" fontId="11" fillId="0" borderId="0" xfId="0" applyFont="1"/>
    <xf numFmtId="0" fontId="12" fillId="0" borderId="0" xfId="5"/>
    <xf numFmtId="169" fontId="12" fillId="0" borderId="0" xfId="5" applyNumberFormat="1"/>
    <xf numFmtId="0" fontId="5" fillId="0" borderId="0" xfId="2" applyFont="1"/>
    <xf numFmtId="169" fontId="5" fillId="0" borderId="0" xfId="2" applyNumberFormat="1" applyFont="1"/>
    <xf numFmtId="0" fontId="1" fillId="0" borderId="0" xfId="1" applyNumberFormat="1" applyFont="1" applyFill="1" applyBorder="1" applyAlignment="1"/>
    <xf numFmtId="0" fontId="13" fillId="0" borderId="0" xfId="0" applyFont="1"/>
    <xf numFmtId="0" fontId="0" fillId="0" borderId="16" xfId="0" applyBorder="1"/>
    <xf numFmtId="0" fontId="0" fillId="0" borderId="17" xfId="0" applyBorder="1"/>
    <xf numFmtId="0" fontId="0" fillId="0" borderId="14" xfId="0" applyBorder="1"/>
    <xf numFmtId="9" fontId="0" fillId="0" borderId="7" xfId="4" applyFont="1" applyBorder="1"/>
    <xf numFmtId="0" fontId="0" fillId="0" borderId="8" xfId="0" applyBorder="1"/>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 fillId="0" borderId="1" xfId="1" applyNumberFormat="1" applyFont="1" applyFill="1" applyBorder="1" applyAlignment="1">
      <alignment horizontal="center"/>
    </xf>
    <xf numFmtId="0" fontId="2" fillId="0" borderId="2" xfId="1" applyNumberFormat="1" applyFont="1" applyFill="1" applyBorder="1" applyAlignment="1">
      <alignment horizontal="center"/>
    </xf>
    <xf numFmtId="0" fontId="2" fillId="0" borderId="3" xfId="1" applyNumberFormat="1" applyFont="1" applyFill="1" applyBorder="1" applyAlignment="1">
      <alignment horizontal="center"/>
    </xf>
    <xf numFmtId="1" fontId="1" fillId="0" borderId="1" xfId="1" applyNumberFormat="1" applyFill="1" applyBorder="1" applyAlignment="1">
      <alignment horizontal="center"/>
    </xf>
    <xf numFmtId="2" fontId="2" fillId="0" borderId="20" xfId="1" applyNumberFormat="1" applyFont="1" applyFill="1" applyBorder="1" applyAlignment="1">
      <alignment horizontal="center"/>
    </xf>
    <xf numFmtId="166" fontId="1" fillId="0" borderId="0" xfId="1" applyNumberFormat="1" applyFont="1" applyFill="1" applyBorder="1" applyAlignment="1">
      <alignment horizontal="center"/>
    </xf>
  </cellXfs>
  <cellStyles count="6">
    <cellStyle name="Hyperlink" xfId="3" builtinId="8"/>
    <cellStyle name="Normal" xfId="0" builtinId="0"/>
    <cellStyle name="Normal 2" xfId="2"/>
    <cellStyle name="Normal 3" xfId="5"/>
    <cellStyle name="Normal_TC9 Data" xfId="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0" i="0" u="none" strike="noStrike" baseline="0">
                <a:solidFill>
                  <a:srgbClr val="000000"/>
                </a:solidFill>
                <a:latin typeface="Arial"/>
                <a:ea typeface="Arial"/>
                <a:cs typeface="Arial"/>
              </a:defRPr>
            </a:pPr>
            <a:r>
              <a:rPr lang="en-GB"/>
              <a:t>Cost per KWh for 50 km</a:t>
            </a:r>
            <a:r>
              <a:rPr lang="en-GB" baseline="0"/>
              <a:t> </a:t>
            </a:r>
            <a:r>
              <a:rPr lang="en-GB"/>
              <a:t>distance</a:t>
            </a:r>
          </a:p>
        </c:rich>
      </c:tx>
      <c:layout>
        <c:manualLayout>
          <c:xMode val="edge"/>
          <c:yMode val="edge"/>
          <c:x val="0.32242475678564131"/>
          <c:y val="2.8960751999023378E-2"/>
        </c:manualLayout>
      </c:layout>
      <c:overlay val="0"/>
      <c:spPr>
        <a:noFill/>
        <a:ln w="25400">
          <a:noFill/>
        </a:ln>
      </c:spPr>
    </c:title>
    <c:autoTitleDeleted val="0"/>
    <c:plotArea>
      <c:layout>
        <c:manualLayout>
          <c:layoutTarget val="inner"/>
          <c:xMode val="edge"/>
          <c:yMode val="edge"/>
          <c:x val="0.19515174615500255"/>
          <c:y val="0.1635434412265758"/>
          <c:w val="0.70545538051063039"/>
          <c:h val="0.58773424190800683"/>
        </c:manualLayout>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'NTS OWC Methodology'!$D$152:$D$165</c:f>
              <c:numCache>
                <c:formatCode>#,##0</c:formatCode>
                <c:ptCount val="14"/>
                <c:pt idx="0">
                  <c:v>165000000</c:v>
                </c:pt>
                <c:pt idx="1">
                  <c:v>132000000</c:v>
                </c:pt>
                <c:pt idx="2">
                  <c:v>110000000</c:v>
                </c:pt>
                <c:pt idx="3">
                  <c:v>77000000</c:v>
                </c:pt>
                <c:pt idx="4">
                  <c:v>55000000</c:v>
                </c:pt>
                <c:pt idx="5">
                  <c:v>44000000</c:v>
                </c:pt>
                <c:pt idx="6">
                  <c:v>33000000</c:v>
                </c:pt>
                <c:pt idx="7">
                  <c:v>22000000</c:v>
                </c:pt>
                <c:pt idx="8">
                  <c:v>11000000</c:v>
                </c:pt>
                <c:pt idx="9">
                  <c:v>5500000</c:v>
                </c:pt>
                <c:pt idx="10">
                  <c:v>4400000</c:v>
                </c:pt>
                <c:pt idx="11">
                  <c:v>3300000</c:v>
                </c:pt>
                <c:pt idx="12">
                  <c:v>2200000</c:v>
                </c:pt>
                <c:pt idx="13">
                  <c:v>1100000</c:v>
                </c:pt>
              </c:numCache>
            </c:numRef>
          </c:xVal>
          <c:yVal>
            <c:numRef>
              <c:f>'NTS OWC Methodology'!$B$217:$B$230</c:f>
              <c:numCache>
                <c:formatCode>0.00000</c:formatCode>
                <c:ptCount val="14"/>
                <c:pt idx="0">
                  <c:v>2.9411672696420181E-4</c:v>
                </c:pt>
                <c:pt idx="1">
                  <c:v>3.6764590870525221E-4</c:v>
                </c:pt>
                <c:pt idx="2">
                  <c:v>4.4117509044630277E-4</c:v>
                </c:pt>
                <c:pt idx="3">
                  <c:v>5.5369404485271678E-4</c:v>
                </c:pt>
                <c:pt idx="4">
                  <c:v>7.7517166279380352E-4</c:v>
                </c:pt>
                <c:pt idx="5">
                  <c:v>9.6896457849225421E-4</c:v>
                </c:pt>
                <c:pt idx="6">
                  <c:v>9.3998941739685451E-4</c:v>
                </c:pt>
                <c:pt idx="7">
                  <c:v>1.4099841260952818E-3</c:v>
                </c:pt>
                <c:pt idx="8">
                  <c:v>2.490712211420938E-3</c:v>
                </c:pt>
                <c:pt idx="9">
                  <c:v>4.981424422841876E-3</c:v>
                </c:pt>
                <c:pt idx="10">
                  <c:v>5.8861708312044573E-3</c:v>
                </c:pt>
                <c:pt idx="11">
                  <c:v>7.8482277749392787E-3</c:v>
                </c:pt>
                <c:pt idx="12">
                  <c:v>1.1772341662408915E-2</c:v>
                </c:pt>
                <c:pt idx="13">
                  <c:v>2.0138586351338944E-2</c:v>
                </c:pt>
              </c:numCache>
            </c:numRef>
          </c:yVal>
          <c:smooth val="0"/>
          <c:extLst>
            <c:ext xmlns:c16="http://schemas.microsoft.com/office/drawing/2014/chart" uri="{C3380CC4-5D6E-409C-BE32-E72D297353CC}">
              <c16:uniqueId val="{00000000-35EC-459C-931D-815C48E3181E}"/>
            </c:ext>
          </c:extLst>
        </c:ser>
        <c:dLbls>
          <c:showLegendKey val="0"/>
          <c:showVal val="0"/>
          <c:showCatName val="0"/>
          <c:showSerName val="0"/>
          <c:showPercent val="0"/>
          <c:showBubbleSize val="0"/>
        </c:dLbls>
        <c:axId val="63993344"/>
        <c:axId val="63995904"/>
      </c:scatterChart>
      <c:valAx>
        <c:axId val="63993344"/>
        <c:scaling>
          <c:orientation val="minMax"/>
        </c:scaling>
        <c:delete val="0"/>
        <c:axPos val="b"/>
        <c:title>
          <c:tx>
            <c:rich>
              <a:bodyPr/>
              <a:lstStyle/>
              <a:p>
                <a:pPr>
                  <a:defRPr sz="1700" b="1" i="0" u="none" strike="noStrike" baseline="0">
                    <a:solidFill>
                      <a:srgbClr val="000000"/>
                    </a:solidFill>
                    <a:latin typeface="Arial"/>
                    <a:ea typeface="Arial"/>
                    <a:cs typeface="Arial"/>
                  </a:defRPr>
                </a:pPr>
                <a:r>
                  <a:rPr lang="en-GB"/>
                  <a:t>SOQ kWh</a:t>
                </a:r>
              </a:p>
            </c:rich>
          </c:tx>
          <c:layout>
            <c:manualLayout>
              <c:xMode val="edge"/>
              <c:yMode val="edge"/>
              <c:x val="0.47878831313750453"/>
              <c:y val="0.841567234328267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63995904"/>
        <c:crosses val="autoZero"/>
        <c:crossBetween val="midCat"/>
      </c:valAx>
      <c:valAx>
        <c:axId val="63995904"/>
        <c:scaling>
          <c:orientation val="minMax"/>
        </c:scaling>
        <c:delete val="0"/>
        <c:axPos val="l"/>
        <c:majorGridlines>
          <c:spPr>
            <a:ln w="3175">
              <a:solidFill>
                <a:srgbClr val="000000"/>
              </a:solidFill>
              <a:prstDash val="solid"/>
            </a:ln>
          </c:spPr>
        </c:majorGridlines>
        <c:title>
          <c:tx>
            <c:rich>
              <a:bodyPr/>
              <a:lstStyle/>
              <a:p>
                <a:pPr>
                  <a:defRPr sz="1700" b="1" i="0" u="none" strike="noStrike" baseline="0">
                    <a:solidFill>
                      <a:srgbClr val="000000"/>
                    </a:solidFill>
                    <a:latin typeface="Arial"/>
                    <a:ea typeface="Arial"/>
                    <a:cs typeface="Arial"/>
                  </a:defRPr>
                </a:pPr>
                <a:r>
                  <a:rPr lang="en-GB"/>
                  <a:t>Cost pence per kWh</a:t>
                </a:r>
              </a:p>
            </c:rich>
          </c:tx>
          <c:layout>
            <c:manualLayout>
              <c:xMode val="edge"/>
              <c:yMode val="edge"/>
              <c:x val="1.9393905103179468E-2"/>
              <c:y val="0.26064725630226454"/>
            </c:manualLayout>
          </c:layout>
          <c:overlay val="0"/>
          <c:spPr>
            <a:noFill/>
            <a:ln w="25400">
              <a:noFill/>
            </a:ln>
          </c:spPr>
        </c:title>
        <c:numFmt formatCode="0.0000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63993344"/>
        <c:crosses val="autoZero"/>
        <c:crossBetween val="midCat"/>
      </c:valAx>
      <c:spPr>
        <a:solidFill>
          <a:srgbClr val="C0C0C0"/>
        </a:solidFill>
        <a:ln w="12700">
          <a:solidFill>
            <a:srgbClr val="808080"/>
          </a:solidFill>
          <a:prstDash val="solid"/>
        </a:ln>
      </c:spPr>
    </c:plotArea>
    <c:legend>
      <c:legendPos val="b"/>
      <c:layout>
        <c:manualLayout>
          <c:xMode val="edge"/>
          <c:yMode val="edge"/>
          <c:x val="0.34424279001053015"/>
          <c:y val="0.92844973448086443"/>
          <c:w val="0.40606120043377814"/>
          <c:h val="5.9625221265946382E-2"/>
        </c:manualLayout>
      </c:layout>
      <c:overlay val="0"/>
      <c:spPr>
        <a:solidFill>
          <a:srgbClr val="FFFFFF"/>
        </a:solidFill>
        <a:ln w="3175">
          <a:solidFill>
            <a:srgbClr val="000000"/>
          </a:solidFill>
          <a:prstDash val="solid"/>
        </a:ln>
      </c:spPr>
      <c:txPr>
        <a:bodyPr/>
        <a:lstStyle/>
        <a:p>
          <a:pPr>
            <a:defRPr sz="86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0" i="0" u="none" strike="noStrike" baseline="0">
                <a:solidFill>
                  <a:srgbClr val="000000"/>
                </a:solidFill>
                <a:latin typeface="Arial"/>
                <a:ea typeface="Arial"/>
                <a:cs typeface="Arial"/>
              </a:defRPr>
            </a:pPr>
            <a:r>
              <a:rPr lang="en-US"/>
              <a:t>Cost per KWh for 50km distance</a:t>
            </a:r>
          </a:p>
        </c:rich>
      </c:tx>
      <c:overlay val="1"/>
      <c:spPr>
        <a:noFill/>
        <a:ln w="25400">
          <a:noFill/>
        </a:ln>
      </c:spPr>
    </c:title>
    <c:autoTitleDeleted val="0"/>
    <c:plotArea>
      <c:layout>
        <c:manualLayout>
          <c:layoutTarget val="inner"/>
          <c:xMode val="edge"/>
          <c:yMode val="edge"/>
          <c:x val="0.1187740944959472"/>
          <c:y val="0.1615648941806411"/>
          <c:w val="0.8441900694819473"/>
          <c:h val="0.65136162601247938"/>
        </c:manualLayout>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trendlineType val="linear"/>
            <c:dispRSqr val="1"/>
            <c:dispEq val="1"/>
            <c:trendlineLbl>
              <c:layout>
                <c:manualLayout>
                  <c:x val="-0.15076545077091014"/>
                  <c:y val="1.468018311162617E-4"/>
                </c:manualLayout>
              </c:layout>
              <c:numFmt formatCode="General" sourceLinked="0"/>
              <c:txPr>
                <a:bodyPr/>
                <a:lstStyle/>
                <a:p>
                  <a:pPr>
                    <a:defRPr sz="1625" b="0" i="0" u="none" strike="noStrike" baseline="0">
                      <a:solidFill>
                        <a:srgbClr val="000000"/>
                      </a:solidFill>
                      <a:latin typeface="Arial"/>
                      <a:ea typeface="Arial"/>
                      <a:cs typeface="Arial"/>
                    </a:defRPr>
                  </a:pPr>
                  <a:endParaRPr lang="en-US"/>
                </a:p>
              </c:txPr>
            </c:trendlineLbl>
          </c:trendline>
          <c:xVal>
            <c:numRef>
              <c:f>'NTS OWC Methodology'!$E$152:$E$165</c:f>
              <c:numCache>
                <c:formatCode>0</c:formatCode>
                <c:ptCount val="14"/>
                <c:pt idx="0">
                  <c:v>18.921456031864853</c:v>
                </c:pt>
                <c:pt idx="1">
                  <c:v>18.698312480550644</c:v>
                </c:pt>
                <c:pt idx="2">
                  <c:v>18.515990923756689</c:v>
                </c:pt>
                <c:pt idx="3">
                  <c:v>18.159315979817958</c:v>
                </c:pt>
                <c:pt idx="4">
                  <c:v>17.822843743196746</c:v>
                </c:pt>
                <c:pt idx="5">
                  <c:v>17.599700191882537</c:v>
                </c:pt>
                <c:pt idx="6">
                  <c:v>17.312018119430753</c:v>
                </c:pt>
                <c:pt idx="7">
                  <c:v>16.90655301132259</c:v>
                </c:pt>
                <c:pt idx="8">
                  <c:v>16.213405830762646</c:v>
                </c:pt>
                <c:pt idx="9">
                  <c:v>15.520258650202699</c:v>
                </c:pt>
                <c:pt idx="10">
                  <c:v>15.29711509888849</c:v>
                </c:pt>
                <c:pt idx="11">
                  <c:v>15.009433026436708</c:v>
                </c:pt>
                <c:pt idx="12">
                  <c:v>14.603967918328545</c:v>
                </c:pt>
                <c:pt idx="13">
                  <c:v>13.910820737768599</c:v>
                </c:pt>
              </c:numCache>
            </c:numRef>
          </c:xVal>
          <c:yVal>
            <c:numRef>
              <c:f>'NTS OWC Methodology'!$C$217:$C$230</c:f>
              <c:numCache>
                <c:formatCode>#,##0.0</c:formatCode>
                <c:ptCount val="14"/>
                <c:pt idx="0">
                  <c:v>-8.13153383893086</c:v>
                </c:pt>
                <c:pt idx="1">
                  <c:v>-7.9083902876166503</c:v>
                </c:pt>
                <c:pt idx="2">
                  <c:v>-7.7260687308226954</c:v>
                </c:pt>
                <c:pt idx="3">
                  <c:v>-7.4988982893806257</c:v>
                </c:pt>
                <c:pt idx="4">
                  <c:v>-7.1624260527594128</c:v>
                </c:pt>
                <c:pt idx="5">
                  <c:v>-6.9392825014452031</c:v>
                </c:pt>
                <c:pt idx="6">
                  <c:v>-6.9696419408520498</c:v>
                </c:pt>
                <c:pt idx="7">
                  <c:v>-6.5641768327438852</c:v>
                </c:pt>
                <c:pt idx="8">
                  <c:v>-5.9951865807208184</c:v>
                </c:pt>
                <c:pt idx="9">
                  <c:v>-5.3020394001608731</c:v>
                </c:pt>
                <c:pt idx="10">
                  <c:v>-5.1351496062817183</c:v>
                </c:pt>
                <c:pt idx="11">
                  <c:v>-4.8474675338299376</c:v>
                </c:pt>
                <c:pt idx="12">
                  <c:v>-4.4420024257217738</c:v>
                </c:pt>
                <c:pt idx="13">
                  <c:v>-3.9051175852506161</c:v>
                </c:pt>
              </c:numCache>
            </c:numRef>
          </c:yVal>
          <c:smooth val="0"/>
          <c:extLst>
            <c:ext xmlns:c16="http://schemas.microsoft.com/office/drawing/2014/chart" uri="{C3380CC4-5D6E-409C-BE32-E72D297353CC}">
              <c16:uniqueId val="{00000001-EA87-45ED-98E1-D8DE0B379485}"/>
            </c:ext>
          </c:extLst>
        </c:ser>
        <c:dLbls>
          <c:showLegendKey val="0"/>
          <c:showVal val="0"/>
          <c:showCatName val="0"/>
          <c:showSerName val="0"/>
          <c:showPercent val="0"/>
          <c:showBubbleSize val="0"/>
        </c:dLbls>
        <c:axId val="64014208"/>
        <c:axId val="64020480"/>
      </c:scatterChart>
      <c:valAx>
        <c:axId val="64014208"/>
        <c:scaling>
          <c:orientation val="minMax"/>
          <c:min val="13"/>
        </c:scaling>
        <c:delete val="0"/>
        <c:axPos val="b"/>
        <c:title>
          <c:tx>
            <c:rich>
              <a:bodyPr/>
              <a:lstStyle/>
              <a:p>
                <a:pPr>
                  <a:defRPr sz="1625" b="1" i="0" u="none" strike="noStrike" baseline="0">
                    <a:solidFill>
                      <a:srgbClr val="000000"/>
                    </a:solidFill>
                    <a:latin typeface="Arial"/>
                    <a:ea typeface="Arial"/>
                    <a:cs typeface="Arial"/>
                  </a:defRPr>
                </a:pPr>
                <a:r>
                  <a:rPr lang="en-GB"/>
                  <a:t>SOQ kWh</a:t>
                </a:r>
              </a:p>
            </c:rich>
          </c:tx>
          <c:layout>
            <c:manualLayout>
              <c:xMode val="edge"/>
              <c:yMode val="edge"/>
              <c:x val="0.47254203801447903"/>
              <c:y val="0.845239471212887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64020480"/>
        <c:crosses val="autoZero"/>
        <c:crossBetween val="midCat"/>
      </c:valAx>
      <c:valAx>
        <c:axId val="64020480"/>
        <c:scaling>
          <c:orientation val="minMax"/>
        </c:scaling>
        <c:delete val="0"/>
        <c:axPos val="l"/>
        <c:majorGridlines>
          <c:spPr>
            <a:ln w="3175">
              <a:solidFill>
                <a:srgbClr val="000000"/>
              </a:solidFill>
              <a:prstDash val="solid"/>
            </a:ln>
          </c:spPr>
        </c:majorGridlines>
        <c:title>
          <c:tx>
            <c:rich>
              <a:bodyPr/>
              <a:lstStyle/>
              <a:p>
                <a:pPr>
                  <a:defRPr sz="1625" b="1" i="0" u="none" strike="noStrike" baseline="0">
                    <a:solidFill>
                      <a:srgbClr val="000000"/>
                    </a:solidFill>
                    <a:latin typeface="Arial"/>
                    <a:ea typeface="Arial"/>
                    <a:cs typeface="Arial"/>
                  </a:defRPr>
                </a:pPr>
                <a:r>
                  <a:rPr lang="en-GB"/>
                  <a:t>Cost pence per kWh</a:t>
                </a:r>
              </a:p>
            </c:rich>
          </c:tx>
          <c:layout>
            <c:manualLayout>
              <c:xMode val="edge"/>
              <c:yMode val="edge"/>
              <c:x val="2.0434368780825472E-2"/>
              <c:y val="0.3061229502275518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64014208"/>
        <c:crosses val="autoZero"/>
        <c:crossBetween val="midCat"/>
      </c:valAx>
      <c:spPr>
        <a:solidFill>
          <a:srgbClr val="C0C0C0"/>
        </a:solidFill>
        <a:ln w="12700">
          <a:solidFill>
            <a:srgbClr val="808080"/>
          </a:solidFill>
          <a:prstDash val="solid"/>
        </a:ln>
      </c:spPr>
    </c:plotArea>
    <c:legend>
      <c:legendPos val="b"/>
      <c:layout>
        <c:manualLayout>
          <c:xMode val="edge"/>
          <c:yMode val="edge"/>
          <c:x val="4.2145597184967264E-2"/>
          <c:y val="0.93027378458426646"/>
          <c:w val="0.91443295549594761"/>
          <c:h val="5.7823207878831662E-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0" i="0" u="none" strike="noStrike" baseline="0">
                <a:solidFill>
                  <a:srgbClr val="000000"/>
                </a:solidFill>
                <a:latin typeface="Arial"/>
                <a:ea typeface="Arial"/>
                <a:cs typeface="Arial"/>
              </a:defRPr>
            </a:pPr>
            <a:r>
              <a:rPr lang="en-US"/>
              <a:t>Cost per KWh for 0 km distance</a:t>
            </a:r>
          </a:p>
        </c:rich>
      </c:tx>
      <c:layout>
        <c:manualLayout>
          <c:xMode val="edge"/>
          <c:yMode val="edge"/>
          <c:x val="0.32160181433631474"/>
          <c:y val="2.8911547346904216E-2"/>
        </c:manualLayout>
      </c:layout>
      <c:overlay val="0"/>
      <c:spPr>
        <a:noFill/>
        <a:ln w="25400">
          <a:noFill/>
        </a:ln>
      </c:spPr>
    </c:title>
    <c:autoTitleDeleted val="0"/>
    <c:plotArea>
      <c:layout>
        <c:manualLayout>
          <c:layoutTarget val="inner"/>
          <c:xMode val="edge"/>
          <c:yMode val="edge"/>
          <c:x val="0.1953883495145631"/>
          <c:y val="0.16326557727727944"/>
          <c:w val="0.70509708737864074"/>
          <c:h val="0.58843635143686135"/>
        </c:manualLayout>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'NTS OWC Methodology'!$D$152:$D$165</c:f>
              <c:numCache>
                <c:formatCode>#,##0</c:formatCode>
                <c:ptCount val="14"/>
                <c:pt idx="0">
                  <c:v>165000000</c:v>
                </c:pt>
                <c:pt idx="1">
                  <c:v>132000000</c:v>
                </c:pt>
                <c:pt idx="2">
                  <c:v>110000000</c:v>
                </c:pt>
                <c:pt idx="3">
                  <c:v>77000000</c:v>
                </c:pt>
                <c:pt idx="4">
                  <c:v>55000000</c:v>
                </c:pt>
                <c:pt idx="5">
                  <c:v>44000000</c:v>
                </c:pt>
                <c:pt idx="6">
                  <c:v>33000000</c:v>
                </c:pt>
                <c:pt idx="7">
                  <c:v>22000000</c:v>
                </c:pt>
                <c:pt idx="8">
                  <c:v>11000000</c:v>
                </c:pt>
                <c:pt idx="9">
                  <c:v>5500000</c:v>
                </c:pt>
                <c:pt idx="10">
                  <c:v>4400000</c:v>
                </c:pt>
                <c:pt idx="11">
                  <c:v>3300000</c:v>
                </c:pt>
                <c:pt idx="12">
                  <c:v>2200000</c:v>
                </c:pt>
                <c:pt idx="13">
                  <c:v>1100000</c:v>
                </c:pt>
              </c:numCache>
            </c:numRef>
          </c:xVal>
          <c:yVal>
            <c:numRef>
              <c:f>'NTS OWC Methodology'!$B$194:$B$207</c:f>
              <c:numCache>
                <c:formatCode>0.00000</c:formatCode>
                <c:ptCount val="14"/>
                <c:pt idx="0">
                  <c:v>2.6437076063454343E-3</c:v>
                </c:pt>
                <c:pt idx="1">
                  <c:v>2.9772717284947039E-3</c:v>
                </c:pt>
                <c:pt idx="2">
                  <c:v>3.37382210694073E-3</c:v>
                </c:pt>
                <c:pt idx="3">
                  <c:v>4.393523080087656E-3</c:v>
                </c:pt>
                <c:pt idx="4">
                  <c:v>5.6910533254371856E-3</c:v>
                </c:pt>
                <c:pt idx="5">
                  <c:v>6.2311803021116736E-3</c:v>
                </c:pt>
                <c:pt idx="6">
                  <c:v>7.1976932523201238E-3</c:v>
                </c:pt>
                <c:pt idx="7">
                  <c:v>1.0622498907133888E-2</c:v>
                </c:pt>
                <c:pt idx="8">
                  <c:v>1.7266918469209486E-2</c:v>
                </c:pt>
                <c:pt idx="9">
                  <c:v>2.1779984414194146E-2</c:v>
                </c:pt>
                <c:pt idx="10">
                  <c:v>2.7224980517742685E-2</c:v>
                </c:pt>
                <c:pt idx="11">
                  <c:v>3.0332855006069477E-2</c:v>
                </c:pt>
                <c:pt idx="12">
                  <c:v>4.5499282509104212E-2</c:v>
                </c:pt>
                <c:pt idx="13">
                  <c:v>7.6578027392372128E-2</c:v>
                </c:pt>
              </c:numCache>
            </c:numRef>
          </c:yVal>
          <c:smooth val="0"/>
          <c:extLst>
            <c:ext xmlns:c16="http://schemas.microsoft.com/office/drawing/2014/chart" uri="{C3380CC4-5D6E-409C-BE32-E72D297353CC}">
              <c16:uniqueId val="{00000000-71B0-4B94-A7F3-84E138BAD65D}"/>
            </c:ext>
          </c:extLst>
        </c:ser>
        <c:dLbls>
          <c:showLegendKey val="0"/>
          <c:showVal val="0"/>
          <c:showCatName val="0"/>
          <c:showSerName val="0"/>
          <c:showPercent val="0"/>
          <c:showBubbleSize val="0"/>
        </c:dLbls>
        <c:axId val="64815488"/>
        <c:axId val="64817792"/>
      </c:scatterChart>
      <c:valAx>
        <c:axId val="64815488"/>
        <c:scaling>
          <c:orientation val="minMax"/>
        </c:scaling>
        <c:delete val="0"/>
        <c:axPos val="b"/>
        <c:title>
          <c:tx>
            <c:rich>
              <a:bodyPr/>
              <a:lstStyle/>
              <a:p>
                <a:pPr>
                  <a:defRPr sz="1700" b="1" i="0" u="none" strike="noStrike" baseline="0">
                    <a:solidFill>
                      <a:srgbClr val="000000"/>
                    </a:solidFill>
                    <a:latin typeface="Arial"/>
                    <a:ea typeface="Arial"/>
                    <a:cs typeface="Arial"/>
                  </a:defRPr>
                </a:pPr>
                <a:r>
                  <a:rPr lang="en-GB"/>
                  <a:t>SOQ kWh</a:t>
                </a:r>
              </a:p>
            </c:rich>
          </c:tx>
          <c:layout>
            <c:manualLayout>
              <c:xMode val="edge"/>
              <c:yMode val="edge"/>
              <c:x val="0.47815521239456715"/>
              <c:y val="0.8418382379621902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64817792"/>
        <c:crosses val="autoZero"/>
        <c:crossBetween val="midCat"/>
      </c:valAx>
      <c:valAx>
        <c:axId val="64817792"/>
        <c:scaling>
          <c:orientation val="minMax"/>
        </c:scaling>
        <c:delete val="0"/>
        <c:axPos val="l"/>
        <c:majorGridlines>
          <c:spPr>
            <a:ln w="3175">
              <a:solidFill>
                <a:srgbClr val="000000"/>
              </a:solidFill>
              <a:prstDash val="solid"/>
            </a:ln>
          </c:spPr>
        </c:majorGridlines>
        <c:title>
          <c:tx>
            <c:rich>
              <a:bodyPr/>
              <a:lstStyle/>
              <a:p>
                <a:pPr>
                  <a:defRPr sz="1700" b="1" i="0" u="none" strike="noStrike" baseline="0">
                    <a:solidFill>
                      <a:srgbClr val="000000"/>
                    </a:solidFill>
                    <a:latin typeface="Arial"/>
                    <a:ea typeface="Arial"/>
                    <a:cs typeface="Arial"/>
                  </a:defRPr>
                </a:pPr>
                <a:r>
                  <a:rPr lang="en-GB"/>
                  <a:t>Cost pence per kWh</a:t>
                </a:r>
              </a:p>
            </c:rich>
          </c:tx>
          <c:layout>
            <c:manualLayout>
              <c:xMode val="edge"/>
              <c:yMode val="edge"/>
              <c:x val="1.5733506612644294E-2"/>
              <c:y val="0.13508134063887176"/>
            </c:manualLayout>
          </c:layout>
          <c:overlay val="0"/>
          <c:spPr>
            <a:noFill/>
            <a:ln w="25400">
              <a:noFill/>
            </a:ln>
          </c:spPr>
        </c:title>
        <c:numFmt formatCode="0.00000" sourceLinked="1"/>
        <c:majorTickMark val="out"/>
        <c:minorTickMark val="none"/>
        <c:tickLblPos val="nextTo"/>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en-US"/>
          </a:p>
        </c:txPr>
        <c:crossAx val="64815488"/>
        <c:crosses val="autoZero"/>
        <c:crossBetween val="midCat"/>
      </c:valAx>
      <c:spPr>
        <a:solidFill>
          <a:srgbClr val="C0C0C0"/>
        </a:solidFill>
        <a:ln w="12700">
          <a:solidFill>
            <a:srgbClr val="808080"/>
          </a:solidFill>
          <a:prstDash val="solid"/>
        </a:ln>
      </c:spPr>
    </c:plotArea>
    <c:legend>
      <c:legendPos val="b"/>
      <c:layout>
        <c:manualLayout>
          <c:xMode val="edge"/>
          <c:yMode val="edge"/>
          <c:x val="0.3446601941747573"/>
          <c:y val="0.92857312190814856"/>
          <c:w val="0.40655327064699437"/>
          <c:h val="5.9523930476432341E-2"/>
        </c:manualLayout>
      </c:layout>
      <c:overlay val="0"/>
      <c:spPr>
        <a:solidFill>
          <a:srgbClr val="FFFFFF"/>
        </a:solidFill>
        <a:ln w="3175">
          <a:solidFill>
            <a:srgbClr val="000000"/>
          </a:solidFill>
          <a:prstDash val="solid"/>
        </a:ln>
      </c:spPr>
      <c:txPr>
        <a:bodyPr/>
        <a:lstStyle/>
        <a:p>
          <a:pPr>
            <a:defRPr sz="86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0" i="0" u="none" strike="noStrike" baseline="0">
                <a:solidFill>
                  <a:srgbClr val="000000"/>
                </a:solidFill>
                <a:latin typeface="Arial"/>
                <a:ea typeface="Arial"/>
                <a:cs typeface="Arial"/>
              </a:defRPr>
            </a:pPr>
            <a:r>
              <a:rPr lang="en-GB"/>
              <a:t>Cost per KWh for 0 km distance</a:t>
            </a:r>
          </a:p>
        </c:rich>
      </c:tx>
      <c:overlay val="0"/>
      <c:spPr>
        <a:noFill/>
        <a:ln w="25400">
          <a:noFill/>
        </a:ln>
      </c:spPr>
    </c:title>
    <c:autoTitleDeleted val="0"/>
    <c:plotArea>
      <c:layout>
        <c:manualLayout>
          <c:layoutTarget val="inner"/>
          <c:xMode val="edge"/>
          <c:yMode val="edge"/>
          <c:x val="0.11877407710229637"/>
          <c:y val="0.16835263011901955"/>
          <c:w val="0.8441900694819473"/>
          <c:h val="0.65136162601247938"/>
        </c:manualLayout>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trendlineType val="linear"/>
            <c:dispRSqr val="1"/>
            <c:dispEq val="1"/>
            <c:trendlineLbl>
              <c:layout>
                <c:manualLayout>
                  <c:x val="-0.14310286907315983"/>
                  <c:y val="-7.28237141856454E-3"/>
                </c:manualLayout>
              </c:layout>
              <c:numFmt formatCode="General" sourceLinked="0"/>
              <c:txPr>
                <a:bodyPr/>
                <a:lstStyle/>
                <a:p>
                  <a:pPr>
                    <a:defRPr sz="1625" b="0" i="0" u="none" strike="noStrike" baseline="0">
                      <a:solidFill>
                        <a:srgbClr val="000000"/>
                      </a:solidFill>
                      <a:latin typeface="Arial"/>
                      <a:ea typeface="Arial"/>
                      <a:cs typeface="Arial"/>
                    </a:defRPr>
                  </a:pPr>
                  <a:endParaRPr lang="en-US"/>
                </a:p>
              </c:txPr>
            </c:trendlineLbl>
          </c:trendline>
          <c:xVal>
            <c:numRef>
              <c:f>'NTS OWC Methodology'!$E$152:$E$165</c:f>
              <c:numCache>
                <c:formatCode>0</c:formatCode>
                <c:ptCount val="14"/>
                <c:pt idx="0">
                  <c:v>18.921456031864853</c:v>
                </c:pt>
                <c:pt idx="1">
                  <c:v>18.698312480550644</c:v>
                </c:pt>
                <c:pt idx="2">
                  <c:v>18.515990923756689</c:v>
                </c:pt>
                <c:pt idx="3">
                  <c:v>18.159315979817958</c:v>
                </c:pt>
                <c:pt idx="4">
                  <c:v>17.822843743196746</c:v>
                </c:pt>
                <c:pt idx="5">
                  <c:v>17.599700191882537</c:v>
                </c:pt>
                <c:pt idx="6">
                  <c:v>17.312018119430753</c:v>
                </c:pt>
                <c:pt idx="7">
                  <c:v>16.90655301132259</c:v>
                </c:pt>
                <c:pt idx="8">
                  <c:v>16.213405830762646</c:v>
                </c:pt>
                <c:pt idx="9">
                  <c:v>15.520258650202699</c:v>
                </c:pt>
                <c:pt idx="10">
                  <c:v>15.29711509888849</c:v>
                </c:pt>
                <c:pt idx="11">
                  <c:v>15.009433026436708</c:v>
                </c:pt>
                <c:pt idx="12">
                  <c:v>14.603967918328545</c:v>
                </c:pt>
                <c:pt idx="13">
                  <c:v>13.910820737768599</c:v>
                </c:pt>
              </c:numCache>
            </c:numRef>
          </c:xVal>
          <c:yVal>
            <c:numRef>
              <c:f>'NTS OWC Methodology'!$C$194:$C$207</c:f>
              <c:numCache>
                <c:formatCode>#,##0.0</c:formatCode>
                <c:ptCount val="14"/>
                <c:pt idx="0">
                  <c:v>-5.9355729507231496</c:v>
                </c:pt>
                <c:pt idx="1">
                  <c:v>-5.8167479251667302</c:v>
                </c:pt>
                <c:pt idx="2">
                  <c:v>-5.6917090209250798</c:v>
                </c:pt>
                <c:pt idx="3">
                  <c:v>-5.4276238498072464</c:v>
                </c:pt>
                <c:pt idx="4">
                  <c:v>-5.1688599292702424</c:v>
                </c:pt>
                <c:pt idx="5">
                  <c:v>-5.0781895095344662</c:v>
                </c:pt>
                <c:pt idx="6" formatCode="#,##0.000">
                  <c:v>-4.9339946859154891</c:v>
                </c:pt>
                <c:pt idx="7">
                  <c:v>-4.5447809888575073</c:v>
                </c:pt>
                <c:pt idx="8">
                  <c:v>-4.0589628353322924</c:v>
                </c:pt>
                <c:pt idx="9">
                  <c:v>-3.8267638770793169</c:v>
                </c:pt>
                <c:pt idx="10">
                  <c:v>-3.6036203257651067</c:v>
                </c:pt>
                <c:pt idx="11">
                  <c:v>-3.495523830288406</c:v>
                </c:pt>
                <c:pt idx="12">
                  <c:v>-3.0900587221802414</c:v>
                </c:pt>
                <c:pt idx="13">
                  <c:v>-2.5694450920480878</c:v>
                </c:pt>
              </c:numCache>
            </c:numRef>
          </c:yVal>
          <c:smooth val="0"/>
          <c:extLst>
            <c:ext xmlns:c16="http://schemas.microsoft.com/office/drawing/2014/chart" uri="{C3380CC4-5D6E-409C-BE32-E72D297353CC}">
              <c16:uniqueId val="{00000001-BC6D-4550-8B75-BC3AA58DAF27}"/>
            </c:ext>
          </c:extLst>
        </c:ser>
        <c:dLbls>
          <c:showLegendKey val="0"/>
          <c:showVal val="0"/>
          <c:showCatName val="0"/>
          <c:showSerName val="0"/>
          <c:showPercent val="0"/>
          <c:showBubbleSize val="0"/>
        </c:dLbls>
        <c:axId val="64840064"/>
        <c:axId val="64841984"/>
      </c:scatterChart>
      <c:valAx>
        <c:axId val="64840064"/>
        <c:scaling>
          <c:orientation val="minMax"/>
          <c:min val="13"/>
        </c:scaling>
        <c:delete val="0"/>
        <c:axPos val="b"/>
        <c:title>
          <c:tx>
            <c:rich>
              <a:bodyPr/>
              <a:lstStyle/>
              <a:p>
                <a:pPr>
                  <a:defRPr sz="1625" b="1" i="0" u="none" strike="noStrike" baseline="0">
                    <a:solidFill>
                      <a:srgbClr val="000000"/>
                    </a:solidFill>
                    <a:latin typeface="Arial"/>
                    <a:ea typeface="Arial"/>
                    <a:cs typeface="Arial"/>
                  </a:defRPr>
                </a:pPr>
                <a:r>
                  <a:rPr lang="en-GB"/>
                  <a:t>SOQ kWh</a:t>
                </a:r>
              </a:p>
            </c:rich>
          </c:tx>
          <c:layout>
            <c:manualLayout>
              <c:xMode val="edge"/>
              <c:yMode val="edge"/>
              <c:x val="0.47254207630825806"/>
              <c:y val="0.845239622824924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64841984"/>
        <c:crosses val="autoZero"/>
        <c:crossBetween val="midCat"/>
      </c:valAx>
      <c:valAx>
        <c:axId val="64841984"/>
        <c:scaling>
          <c:orientation val="minMax"/>
        </c:scaling>
        <c:delete val="0"/>
        <c:axPos val="l"/>
        <c:majorGridlines>
          <c:spPr>
            <a:ln w="3175">
              <a:solidFill>
                <a:srgbClr val="000000"/>
              </a:solidFill>
              <a:prstDash val="solid"/>
            </a:ln>
          </c:spPr>
        </c:majorGridlines>
        <c:title>
          <c:tx>
            <c:rich>
              <a:bodyPr/>
              <a:lstStyle/>
              <a:p>
                <a:pPr>
                  <a:defRPr sz="1625" b="1" i="0" u="none" strike="noStrike" baseline="0">
                    <a:solidFill>
                      <a:srgbClr val="000000"/>
                    </a:solidFill>
                    <a:latin typeface="Arial"/>
                    <a:ea typeface="Arial"/>
                    <a:cs typeface="Arial"/>
                  </a:defRPr>
                </a:pPr>
                <a:r>
                  <a:rPr lang="en-GB"/>
                  <a:t>Cost pence per kWh</a:t>
                </a:r>
              </a:p>
            </c:rich>
          </c:tx>
          <c:layout>
            <c:manualLayout>
              <c:xMode val="edge"/>
              <c:yMode val="edge"/>
              <c:x val="1.6618176965167489E-2"/>
              <c:y val="0.2213524351122776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625" b="0" i="0" u="none" strike="noStrike" baseline="0">
                <a:solidFill>
                  <a:srgbClr val="000000"/>
                </a:solidFill>
                <a:latin typeface="Arial"/>
                <a:ea typeface="Arial"/>
                <a:cs typeface="Arial"/>
              </a:defRPr>
            </a:pPr>
            <a:endParaRPr lang="en-US"/>
          </a:p>
        </c:txPr>
        <c:crossAx val="64840064"/>
        <c:crosses val="autoZero"/>
        <c:crossBetween val="midCat"/>
      </c:valAx>
      <c:spPr>
        <a:solidFill>
          <a:srgbClr val="C0C0C0"/>
        </a:solidFill>
        <a:ln w="12700">
          <a:solidFill>
            <a:srgbClr val="808080"/>
          </a:solidFill>
          <a:prstDash val="solid"/>
        </a:ln>
      </c:spPr>
    </c:plotArea>
    <c:legend>
      <c:legendPos val="b"/>
      <c:layout>
        <c:manualLayout>
          <c:xMode val="edge"/>
          <c:yMode val="edge"/>
          <c:x val="4.2145706362975814E-2"/>
          <c:y val="0.93027364634976184"/>
          <c:w val="0.93542061479603189"/>
          <c:h val="5.7823223485953146E-2"/>
        </c:manualLayout>
      </c:layout>
      <c:overlay val="0"/>
      <c:spPr>
        <a:solidFill>
          <a:srgbClr val="FFFFFF"/>
        </a:solidFill>
        <a:ln w="3175">
          <a:solidFill>
            <a:srgbClr val="000000"/>
          </a:solidFill>
          <a:prstDash val="solid"/>
        </a:ln>
      </c:spPr>
      <c:txPr>
        <a:bodyPr/>
        <a:lstStyle/>
        <a:p>
          <a:pPr>
            <a:defRPr sz="8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28575</xdr:colOff>
      <xdr:row>219</xdr:row>
      <xdr:rowOff>76200</xdr:rowOff>
    </xdr:from>
    <xdr:to>
      <xdr:col>8</xdr:col>
      <xdr:colOff>219075</xdr:colOff>
      <xdr:row>240</xdr:row>
      <xdr:rowOff>142875</xdr:rowOff>
    </xdr:to>
    <xdr:graphicFrame macro="">
      <xdr:nvGraphicFramePr>
        <xdr:cNvPr id="2" name="Chart 1">
          <a:extLst>
            <a:ext uri="{FF2B5EF4-FFF2-40B4-BE49-F238E27FC236}">
              <a16:creationId xmlns:a16="http://schemas.microsoft.com/office/drawing/2014/main" id="{00000000-0008-0000-0200-0000AF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432841</xdr:colOff>
      <xdr:row>218</xdr:row>
      <xdr:rowOff>190813</xdr:rowOff>
    </xdr:from>
    <xdr:to>
      <xdr:col>13</xdr:col>
      <xdr:colOff>642391</xdr:colOff>
      <xdr:row>240</xdr:row>
      <xdr:rowOff>111646</xdr:rowOff>
    </xdr:to>
    <xdr:graphicFrame macro="">
      <xdr:nvGraphicFramePr>
        <xdr:cNvPr id="3" name="Chart 3">
          <a:extLst>
            <a:ext uri="{FF2B5EF4-FFF2-40B4-BE49-F238E27FC236}">
              <a16:creationId xmlns:a16="http://schemas.microsoft.com/office/drawing/2014/main" id="{00000000-0008-0000-0200-0000B0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133350</xdr:colOff>
      <xdr:row>191</xdr:row>
      <xdr:rowOff>57150</xdr:rowOff>
    </xdr:from>
    <xdr:to>
      <xdr:col>8</xdr:col>
      <xdr:colOff>219075</xdr:colOff>
      <xdr:row>212</xdr:row>
      <xdr:rowOff>133350</xdr:rowOff>
    </xdr:to>
    <xdr:graphicFrame macro="">
      <xdr:nvGraphicFramePr>
        <xdr:cNvPr id="4" name="Chart 717">
          <a:extLst>
            <a:ext uri="{FF2B5EF4-FFF2-40B4-BE49-F238E27FC236}">
              <a16:creationId xmlns:a16="http://schemas.microsoft.com/office/drawing/2014/main" id="{00000000-0008-0000-0200-0000B1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561975</xdr:colOff>
      <xdr:row>191</xdr:row>
      <xdr:rowOff>76200</xdr:rowOff>
    </xdr:from>
    <xdr:to>
      <xdr:col>13</xdr:col>
      <xdr:colOff>581025</xdr:colOff>
      <xdr:row>212</xdr:row>
      <xdr:rowOff>133350</xdr:rowOff>
    </xdr:to>
    <xdr:graphicFrame macro="">
      <xdr:nvGraphicFramePr>
        <xdr:cNvPr id="5" name="Chart 718">
          <a:extLst>
            <a:ext uri="{FF2B5EF4-FFF2-40B4-BE49-F238E27FC236}">
              <a16:creationId xmlns:a16="http://schemas.microsoft.com/office/drawing/2014/main" id="{00000000-0008-0000-0200-0000B2B50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156147</xdr:colOff>
      <xdr:row>5</xdr:row>
      <xdr:rowOff>78073</xdr:rowOff>
    </xdr:from>
    <xdr:to>
      <xdr:col>13</xdr:col>
      <xdr:colOff>109304</xdr:colOff>
      <xdr:row>10</xdr:row>
      <xdr:rowOff>62458</xdr:rowOff>
    </xdr:to>
    <xdr:sp macro="" textlink="">
      <xdr:nvSpPr>
        <xdr:cNvPr id="6" name="TextBox 5">
          <a:extLst>
            <a:ext uri="{FF2B5EF4-FFF2-40B4-BE49-F238E27FC236}">
              <a16:creationId xmlns:a16="http://schemas.microsoft.com/office/drawing/2014/main" id="{00000000-0008-0000-0200-000002000000}"/>
            </a:ext>
          </a:extLst>
        </xdr:cNvPr>
        <xdr:cNvSpPr txBox="1"/>
      </xdr:nvSpPr>
      <xdr:spPr>
        <a:xfrm>
          <a:off x="17519754" y="2107991"/>
          <a:ext cx="4153525" cy="999344"/>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This table shows the pipe diameters in mm required to meet a range of typical peak day flowrates for a range of pipeline distances. </a:t>
          </a:r>
          <a:r>
            <a:rPr lang="en-GB" sz="1400">
              <a:solidFill>
                <a:schemeClr val="dk1"/>
              </a:solidFill>
              <a:effectLst/>
              <a:latin typeface="Arial" panose="020B0604020202020204" pitchFamily="34" charset="0"/>
              <a:ea typeface="+mn-ea"/>
              <a:cs typeface="Arial" panose="020B0604020202020204" pitchFamily="34" charset="0"/>
            </a:rPr>
            <a:t> </a:t>
          </a:r>
          <a:endParaRPr lang="en-GB" sz="140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5</xdr:col>
      <xdr:colOff>62457</xdr:colOff>
      <xdr:row>21</xdr:row>
      <xdr:rowOff>0</xdr:rowOff>
    </xdr:from>
    <xdr:to>
      <xdr:col>7</xdr:col>
      <xdr:colOff>1748851</xdr:colOff>
      <xdr:row>29</xdr:row>
      <xdr:rowOff>15615</xdr:rowOff>
    </xdr:to>
    <xdr:sp macro="" textlink="">
      <xdr:nvSpPr>
        <xdr:cNvPr id="7" name="TextBox 6">
          <a:extLst>
            <a:ext uri="{FF2B5EF4-FFF2-40B4-BE49-F238E27FC236}">
              <a16:creationId xmlns:a16="http://schemas.microsoft.com/office/drawing/2014/main" id="{00000000-0008-0000-0200-000003000000}"/>
            </a:ext>
          </a:extLst>
        </xdr:cNvPr>
        <xdr:cNvSpPr txBox="1"/>
      </xdr:nvSpPr>
      <xdr:spPr>
        <a:xfrm>
          <a:off x="7120482" y="5200650"/>
          <a:ext cx="4486744" cy="163486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This table contains the unit costs per km based on historical planning and design specification for the different pipe sizes based on values used to produce the NTS Optional Commodity Charge formula in 1998</a:t>
          </a:r>
          <a:endParaRPr lang="en-GB" sz="1400">
            <a:effectLst/>
            <a:latin typeface="Arial" panose="020B0604020202020204" pitchFamily="34" charset="0"/>
            <a:cs typeface="Arial" panose="020B0604020202020204" pitchFamily="34" charset="0"/>
          </a:endParaRPr>
        </a:p>
        <a:p>
          <a:r>
            <a:rPr lang="en-GB" sz="1400" b="1">
              <a:latin typeface="Arial" panose="020B0604020202020204" pitchFamily="34" charset="0"/>
              <a:cs typeface="Arial" panose="020B0604020202020204" pitchFamily="34" charset="0"/>
            </a:rPr>
            <a:t>Please note these have been indexed to 18/19 using RPI.</a:t>
          </a:r>
        </a:p>
      </xdr:txBody>
    </xdr:sp>
    <xdr:clientData/>
  </xdr:twoCellAnchor>
  <xdr:twoCellAnchor>
    <xdr:from>
      <xdr:col>10</xdr:col>
      <xdr:colOff>140533</xdr:colOff>
      <xdr:row>70</xdr:row>
      <xdr:rowOff>109302</xdr:rowOff>
    </xdr:from>
    <xdr:to>
      <xdr:col>13</xdr:col>
      <xdr:colOff>624590</xdr:colOff>
      <xdr:row>82</xdr:row>
      <xdr:rowOff>0</xdr:rowOff>
    </xdr:to>
    <xdr:sp macro="" textlink="">
      <xdr:nvSpPr>
        <xdr:cNvPr id="9" name="TextBox 8">
          <a:extLst>
            <a:ext uri="{FF2B5EF4-FFF2-40B4-BE49-F238E27FC236}">
              <a16:creationId xmlns:a16="http://schemas.microsoft.com/office/drawing/2014/main" id="{00000000-0008-0000-0200-000005000000}"/>
            </a:ext>
          </a:extLst>
        </xdr:cNvPr>
        <xdr:cNvSpPr txBox="1"/>
      </xdr:nvSpPr>
      <xdr:spPr>
        <a:xfrm>
          <a:off x="17504140" y="20502171"/>
          <a:ext cx="4684425" cy="2326599"/>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total capital cost for a range of distances and peak day flowrates. This is done by multiplying the pipe laying unit cost from table 2 by the distance and adding the non-distance related cost from step 3. Additional costs are included for pipeline distances at 25km and over (£100k) with an extra increment (£100k) at 50km as an estimate of additional costs as distance increases. </a:t>
          </a:r>
          <a:r>
            <a:rPr lang="en-GB" sz="1400">
              <a:latin typeface="Arial" panose="020B0604020202020204" pitchFamily="34" charset="0"/>
              <a:cs typeface="Arial" panose="020B0604020202020204" pitchFamily="34" charset="0"/>
            </a:rPr>
            <a:t> </a:t>
          </a:r>
        </a:p>
        <a:p>
          <a:r>
            <a:rPr lang="en-GB" sz="1400" b="1">
              <a:latin typeface="Arial" panose="020B0604020202020204" pitchFamily="34" charset="0"/>
              <a:cs typeface="Arial" panose="020B0604020202020204" pitchFamily="34" charset="0"/>
            </a:rPr>
            <a:t>Please note these have been indexed to 18/19 prices using RPI.</a:t>
          </a:r>
        </a:p>
      </xdr:txBody>
    </xdr:sp>
    <xdr:clientData/>
  </xdr:twoCellAnchor>
  <xdr:twoCellAnchor>
    <xdr:from>
      <xdr:col>10</xdr:col>
      <xdr:colOff>93687</xdr:colOff>
      <xdr:row>124</xdr:row>
      <xdr:rowOff>124916</xdr:rowOff>
    </xdr:from>
    <xdr:to>
      <xdr:col>13</xdr:col>
      <xdr:colOff>733894</xdr:colOff>
      <xdr:row>132</xdr:row>
      <xdr:rowOff>124919</xdr:rowOff>
    </xdr:to>
    <xdr:sp macro="" textlink="">
      <xdr:nvSpPr>
        <xdr:cNvPr id="12" name="TextBox 11">
          <a:extLst>
            <a:ext uri="{FF2B5EF4-FFF2-40B4-BE49-F238E27FC236}">
              <a16:creationId xmlns:a16="http://schemas.microsoft.com/office/drawing/2014/main" id="{00000000-0008-0000-0200-000008000000}"/>
            </a:ext>
          </a:extLst>
        </xdr:cNvPr>
        <xdr:cNvSpPr txBox="1"/>
      </xdr:nvSpPr>
      <xdr:spPr>
        <a:xfrm>
          <a:off x="17457294" y="31073359"/>
          <a:ext cx="4840575" cy="1623937"/>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lang="en-GB" sz="1400">
              <a:latin typeface="Arial" panose="020B0604020202020204" pitchFamily="34" charset="0"/>
              <a:cs typeface="Arial" panose="020B0604020202020204" pitchFamily="34" charset="0"/>
            </a:rPr>
            <a:t>This table calculates the ongoing costs of the hypothetical pipeline based on a number of assumptions and estimates. The total for including these costs are through a combination of adjustments that in total provide the assumption for the annual maintenance costs associated to the pipeline. These costs increase in steps based on flow rates and distances.</a:t>
          </a:r>
        </a:p>
        <a:p>
          <a:pPr>
            <a:lnSpc>
              <a:spcPts val="1500"/>
            </a:lnSpc>
          </a:pPr>
          <a:endParaRPr lang="en-GB" sz="1400">
            <a:latin typeface="Arial" panose="020B0604020202020204" pitchFamily="34" charset="0"/>
            <a:cs typeface="Arial" panose="020B0604020202020204" pitchFamily="34" charset="0"/>
          </a:endParaRPr>
        </a:p>
      </xdr:txBody>
    </xdr:sp>
    <xdr:clientData/>
  </xdr:twoCellAnchor>
  <xdr:twoCellAnchor>
    <xdr:from>
      <xdr:col>8</xdr:col>
      <xdr:colOff>109302</xdr:colOff>
      <xdr:row>139</xdr:row>
      <xdr:rowOff>15617</xdr:rowOff>
    </xdr:from>
    <xdr:to>
      <xdr:col>11</xdr:col>
      <xdr:colOff>1249181</xdr:colOff>
      <xdr:row>141</xdr:row>
      <xdr:rowOff>46844</xdr:rowOff>
    </xdr:to>
    <xdr:sp macro="" textlink="">
      <xdr:nvSpPr>
        <xdr:cNvPr id="13" name="TextBox 12">
          <a:extLst>
            <a:ext uri="{FF2B5EF4-FFF2-40B4-BE49-F238E27FC236}">
              <a16:creationId xmlns:a16="http://schemas.microsoft.com/office/drawing/2014/main" id="{00000000-0008-0000-0200-000009000000}"/>
            </a:ext>
          </a:extLst>
        </xdr:cNvPr>
        <xdr:cNvSpPr txBox="1"/>
      </xdr:nvSpPr>
      <xdr:spPr>
        <a:xfrm>
          <a:off x="13006152" y="36001067"/>
          <a:ext cx="5197529" cy="42175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1">
              <a:latin typeface="Arial" panose="020B0604020202020204" pitchFamily="34" charset="0"/>
              <a:cs typeface="Arial" panose="020B0604020202020204" pitchFamily="34" charset="0"/>
            </a:rPr>
            <a:t>Please note these have been indexed to 18/19 using RPI.</a:t>
          </a:r>
        </a:p>
      </xdr:txBody>
    </xdr:sp>
    <xdr:clientData/>
  </xdr:twoCellAnchor>
  <xdr:twoCellAnchor>
    <xdr:from>
      <xdr:col>8</xdr:col>
      <xdr:colOff>93689</xdr:colOff>
      <xdr:row>151</xdr:row>
      <xdr:rowOff>78075</xdr:rowOff>
    </xdr:from>
    <xdr:to>
      <xdr:col>11</xdr:col>
      <xdr:colOff>312295</xdr:colOff>
      <xdr:row>157</xdr:row>
      <xdr:rowOff>93688</xdr:rowOff>
    </xdr:to>
    <xdr:sp macro="" textlink="">
      <xdr:nvSpPr>
        <xdr:cNvPr id="14" name="TextBox 13">
          <a:extLst>
            <a:ext uri="{FF2B5EF4-FFF2-40B4-BE49-F238E27FC236}">
              <a16:creationId xmlns:a16="http://schemas.microsoft.com/office/drawing/2014/main" id="{00000000-0008-0000-0200-00000A000000}"/>
            </a:ext>
          </a:extLst>
        </xdr:cNvPr>
        <xdr:cNvSpPr txBox="1"/>
      </xdr:nvSpPr>
      <xdr:spPr>
        <a:xfrm>
          <a:off x="13007091" y="37459796"/>
          <a:ext cx="6386434" cy="1264794"/>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supply point capacities using updated CV value from TYS of 39.6 MJ/M</a:t>
          </a:r>
          <a:r>
            <a:rPr lang="en-GB" sz="1400" b="0" i="0" u="none" strike="noStrike" baseline="30000">
              <a:solidFill>
                <a:schemeClr val="dk1"/>
              </a:solidFill>
              <a:effectLst/>
              <a:latin typeface="Arial" panose="020B0604020202020204" pitchFamily="34" charset="0"/>
              <a:ea typeface="+mn-ea"/>
              <a:cs typeface="Arial" panose="020B0604020202020204" pitchFamily="34" charset="0"/>
            </a:rPr>
            <a:t>3</a:t>
          </a:r>
          <a:r>
            <a:rPr lang="en-GB" sz="1400" b="0" i="0" u="none" strike="noStrike">
              <a:solidFill>
                <a:schemeClr val="dk1"/>
              </a:solidFill>
              <a:effectLst/>
              <a:latin typeface="Arial" panose="020B0604020202020204" pitchFamily="34" charset="0"/>
              <a:ea typeface="+mn-ea"/>
              <a:cs typeface="Arial" panose="020B0604020202020204" pitchFamily="34" charset="0"/>
            </a:rPr>
            <a:t>. This is used to calculate the Annual Quantity AQ in GWh that will be used to calculate the cost per kWh.</a:t>
          </a:r>
          <a:r>
            <a:rPr lang="en-GB" sz="1400">
              <a:latin typeface="Arial" panose="020B0604020202020204" pitchFamily="34" charset="0"/>
              <a:cs typeface="Arial" panose="020B0604020202020204" pitchFamily="34" charset="0"/>
            </a:rPr>
            <a:t> </a:t>
          </a:r>
        </a:p>
      </xdr:txBody>
    </xdr:sp>
    <xdr:clientData/>
  </xdr:twoCellAnchor>
  <xdr:twoCellAnchor>
    <xdr:from>
      <xdr:col>10</xdr:col>
      <xdr:colOff>124919</xdr:colOff>
      <xdr:row>170</xdr:row>
      <xdr:rowOff>93686</xdr:rowOff>
    </xdr:from>
    <xdr:to>
      <xdr:col>13</xdr:col>
      <xdr:colOff>187377</xdr:colOff>
      <xdr:row>178</xdr:row>
      <xdr:rowOff>124918</xdr:rowOff>
    </xdr:to>
    <xdr:sp macro="" textlink="">
      <xdr:nvSpPr>
        <xdr:cNvPr id="15" name="TextBox 14">
          <a:extLst>
            <a:ext uri="{FF2B5EF4-FFF2-40B4-BE49-F238E27FC236}">
              <a16:creationId xmlns:a16="http://schemas.microsoft.com/office/drawing/2014/main" id="{00000000-0008-0000-0200-00000B000000}"/>
            </a:ext>
          </a:extLst>
        </xdr:cNvPr>
        <xdr:cNvSpPr txBox="1"/>
      </xdr:nvSpPr>
      <xdr:spPr>
        <a:xfrm>
          <a:off x="17488526" y="42378440"/>
          <a:ext cx="4262826" cy="1655167"/>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500"/>
            </a:lnSpc>
            <a:spcBef>
              <a:spcPts val="0"/>
            </a:spcBef>
            <a:spcAft>
              <a:spcPts val="0"/>
            </a:spcAft>
            <a:buClrTx/>
            <a:buSzTx/>
            <a:buFontTx/>
            <a:buNone/>
            <a:tabLst/>
            <a:defRPr/>
          </a:pPr>
          <a:r>
            <a:rPr lang="en-GB" sz="1400" b="0" i="0" u="none" strike="noStrike">
              <a:solidFill>
                <a:schemeClr val="dk1"/>
              </a:solidFill>
              <a:effectLst/>
              <a:latin typeface="Arial" panose="020B0604020202020204" pitchFamily="34" charset="0"/>
              <a:ea typeface="+mn-ea"/>
              <a:cs typeface="Arial" panose="020B0604020202020204" pitchFamily="34" charset="0"/>
            </a:rPr>
            <a:t>This table divides the annuitised ongoing costs in table 7  by the annual quantities corresponding to the supply point capacities generate a matrix of unit cost in table 8 (supply point capacities), expressed in p/kWh for a range of supply point capacities and distances.</a:t>
          </a:r>
          <a:r>
            <a:rPr lang="en-GB" sz="1400">
              <a:latin typeface="Arial" panose="020B0604020202020204" pitchFamily="34" charset="0"/>
              <a:cs typeface="Arial" panose="020B0604020202020204" pitchFamily="34" charset="0"/>
            </a:rPr>
            <a:t> </a:t>
          </a:r>
          <a:endParaRPr lang="en-GB" sz="1400">
            <a:effectLst/>
            <a:latin typeface="Arial" panose="020B0604020202020204" pitchFamily="34" charset="0"/>
            <a:cs typeface="Arial" panose="020B0604020202020204" pitchFamily="34" charset="0"/>
          </a:endParaRPr>
        </a:p>
      </xdr:txBody>
    </xdr:sp>
    <xdr:clientData/>
  </xdr:twoCellAnchor>
  <xdr:twoCellAnchor>
    <xdr:from>
      <xdr:col>13</xdr:col>
      <xdr:colOff>702662</xdr:colOff>
      <xdr:row>191</xdr:row>
      <xdr:rowOff>62458</xdr:rowOff>
    </xdr:from>
    <xdr:to>
      <xdr:col>17</xdr:col>
      <xdr:colOff>421597</xdr:colOff>
      <xdr:row>203</xdr:row>
      <xdr:rowOff>140533</xdr:rowOff>
    </xdr:to>
    <xdr:sp macro="" textlink="">
      <xdr:nvSpPr>
        <xdr:cNvPr id="16" name="TextBox 15">
          <a:extLst>
            <a:ext uri="{FF2B5EF4-FFF2-40B4-BE49-F238E27FC236}">
              <a16:creationId xmlns:a16="http://schemas.microsoft.com/office/drawing/2014/main" id="{00000000-0008-0000-0200-00000D000000}"/>
            </a:ext>
          </a:extLst>
        </xdr:cNvPr>
        <xdr:cNvSpPr txBox="1"/>
      </xdr:nvSpPr>
      <xdr:spPr>
        <a:xfrm>
          <a:off x="20324162" y="48439933"/>
          <a:ext cx="5205335" cy="238312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u="none" strike="noStrike">
              <a:solidFill>
                <a:schemeClr val="dk1"/>
              </a:solidFill>
              <a:effectLst/>
              <a:latin typeface="Arial" panose="020B0604020202020204" pitchFamily="34" charset="0"/>
              <a:ea typeface="+mn-ea"/>
              <a:cs typeface="Arial" panose="020B0604020202020204" pitchFamily="34" charset="0"/>
            </a:rPr>
            <a:t>This section calculates the distance and non-distance related parts of the function and this is done by means of regression analysis on the data. The functions are expressed as power relationships. The zero distance p/kWh is from step 9. The distance related average p/kWh is calculated by subtracting the 0km cost per kWh value from the 50 km cost per kWh in step 9 and dividing by 50. These are used to create linear equations that represent the non-distance and distance related elements of the NTS Optional Capacity Charge function. </a:t>
          </a:r>
          <a:r>
            <a:rPr lang="en-GB" sz="1400">
              <a:latin typeface="Arial" panose="020B0604020202020204" pitchFamily="34" charset="0"/>
              <a:cs typeface="Arial" panose="020B0604020202020204" pitchFamily="34" charset="0"/>
            </a:rPr>
            <a:t> </a:t>
          </a:r>
        </a:p>
      </xdr:txBody>
    </xdr:sp>
    <xdr:clientData/>
  </xdr:twoCellAnchor>
  <xdr:oneCellAnchor>
    <xdr:from>
      <xdr:col>3</xdr:col>
      <xdr:colOff>655820</xdr:colOff>
      <xdr:row>32</xdr:row>
      <xdr:rowOff>0</xdr:rowOff>
    </xdr:from>
    <xdr:ext cx="184731" cy="264560"/>
    <xdr:sp macro="" textlink="">
      <xdr:nvSpPr>
        <xdr:cNvPr id="17" name="TextBox 16">
          <a:extLst>
            <a:ext uri="{FF2B5EF4-FFF2-40B4-BE49-F238E27FC236}">
              <a16:creationId xmlns:a16="http://schemas.microsoft.com/office/drawing/2014/main" id="{00000000-0008-0000-0200-00000F000000}"/>
            </a:ext>
          </a:extLst>
        </xdr:cNvPr>
        <xdr:cNvSpPr txBox="1"/>
      </xdr:nvSpPr>
      <xdr:spPr>
        <a:xfrm>
          <a:off x="4827770" y="9210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5</xdr:col>
      <xdr:colOff>109303</xdr:colOff>
      <xdr:row>38</xdr:row>
      <xdr:rowOff>62456</xdr:rowOff>
    </xdr:from>
    <xdr:to>
      <xdr:col>7</xdr:col>
      <xdr:colOff>1296026</xdr:colOff>
      <xdr:row>46</xdr:row>
      <xdr:rowOff>109302</xdr:rowOff>
    </xdr:to>
    <xdr:sp macro="" textlink="">
      <xdr:nvSpPr>
        <xdr:cNvPr id="19" name="TextBox 18">
          <a:extLst>
            <a:ext uri="{FF2B5EF4-FFF2-40B4-BE49-F238E27FC236}">
              <a16:creationId xmlns:a16="http://schemas.microsoft.com/office/drawing/2014/main" id="{00000000-0008-0000-0200-000015000000}"/>
            </a:ext>
          </a:extLst>
        </xdr:cNvPr>
        <xdr:cNvSpPr txBox="1"/>
      </xdr:nvSpPr>
      <xdr:spPr>
        <a:xfrm>
          <a:off x="7151557" y="13085161"/>
          <a:ext cx="5012338" cy="167078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This table contains a total value of some of the non-distance related costs (e.g. Pipeline connection, Pig traps, Calorimetry, Pressure reduction and volumetric control) for each of the peak day flowrates.</a:t>
          </a:r>
          <a:r>
            <a:rPr lang="en-GB" sz="1400">
              <a:solidFill>
                <a:schemeClr val="dk1"/>
              </a:solidFill>
              <a:effectLst/>
              <a:latin typeface="Arial" panose="020B0604020202020204" pitchFamily="34" charset="0"/>
              <a:ea typeface="+mn-ea"/>
              <a:cs typeface="Arial" panose="020B0604020202020204" pitchFamily="34" charset="0"/>
            </a:rPr>
            <a:t> </a:t>
          </a:r>
          <a:endParaRPr lang="en-GB" sz="14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1">
              <a:latin typeface="Arial" panose="020B0604020202020204" pitchFamily="34" charset="0"/>
              <a:cs typeface="Arial" panose="020B0604020202020204" pitchFamily="34" charset="0"/>
            </a:rPr>
            <a:t>Please note these have been indexed to 18/19 prices using RPI.</a:t>
          </a:r>
        </a:p>
      </xdr:txBody>
    </xdr:sp>
    <xdr:clientData/>
  </xdr:twoCellAnchor>
  <xdr:twoCellAnchor>
    <xdr:from>
      <xdr:col>12</xdr:col>
      <xdr:colOff>109302</xdr:colOff>
      <xdr:row>254</xdr:row>
      <xdr:rowOff>109305</xdr:rowOff>
    </xdr:from>
    <xdr:to>
      <xdr:col>15</xdr:col>
      <xdr:colOff>1061803</xdr:colOff>
      <xdr:row>260</xdr:row>
      <xdr:rowOff>171762</xdr:rowOff>
    </xdr:to>
    <xdr:sp macro="" textlink="">
      <xdr:nvSpPr>
        <xdr:cNvPr id="20" name="TextBox 19">
          <a:extLst>
            <a:ext uri="{FF2B5EF4-FFF2-40B4-BE49-F238E27FC236}">
              <a16:creationId xmlns:a16="http://schemas.microsoft.com/office/drawing/2014/main" id="{00000000-0008-0000-0200-000016000000}"/>
            </a:ext>
          </a:extLst>
        </xdr:cNvPr>
        <xdr:cNvSpPr txBox="1"/>
      </xdr:nvSpPr>
      <xdr:spPr>
        <a:xfrm>
          <a:off x="18397302" y="60869280"/>
          <a:ext cx="5029201" cy="1805532"/>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5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This section contains the NTS Optional Capacity Charge formula that is produced from the previous steps. The formula is made up of the gradient and intercepts values from the two linear equations (non-distance and distance related). The first part of the equation covers the distance related element of the equation and the second part is the non-distance related part of the equation.</a:t>
          </a:r>
        </a:p>
        <a:p>
          <a:pPr>
            <a:lnSpc>
              <a:spcPts val="1500"/>
            </a:lnSpc>
          </a:pPr>
          <a:endParaRPr lang="en-GB" sz="1400">
            <a:latin typeface="Arial" panose="020B0604020202020204" pitchFamily="34" charset="0"/>
            <a:cs typeface="Arial" panose="020B0604020202020204" pitchFamily="34" charset="0"/>
          </a:endParaRPr>
        </a:p>
      </xdr:txBody>
    </xdr:sp>
    <xdr:clientData/>
  </xdr:twoCellAnchor>
  <xdr:twoCellAnchor>
    <xdr:from>
      <xdr:col>3</xdr:col>
      <xdr:colOff>140531</xdr:colOff>
      <xdr:row>54</xdr:row>
      <xdr:rowOff>15615</xdr:rowOff>
    </xdr:from>
    <xdr:to>
      <xdr:col>6</xdr:col>
      <xdr:colOff>249836</xdr:colOff>
      <xdr:row>60</xdr:row>
      <xdr:rowOff>15615</xdr:rowOff>
    </xdr:to>
    <xdr:sp macro="" textlink="">
      <xdr:nvSpPr>
        <xdr:cNvPr id="21" name="TextBox 20">
          <a:extLst>
            <a:ext uri="{FF2B5EF4-FFF2-40B4-BE49-F238E27FC236}">
              <a16:creationId xmlns:a16="http://schemas.microsoft.com/office/drawing/2014/main" id="{00000000-0008-0000-0200-00000C000000}"/>
            </a:ext>
          </a:extLst>
        </xdr:cNvPr>
        <xdr:cNvSpPr txBox="1"/>
      </xdr:nvSpPr>
      <xdr:spPr>
        <a:xfrm>
          <a:off x="4312481" y="16055715"/>
          <a:ext cx="4328880" cy="11715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This</a:t>
          </a:r>
          <a:r>
            <a:rPr lang="en-GB" sz="1400" baseline="0">
              <a:latin typeface="Arial" panose="020B0604020202020204" pitchFamily="34" charset="0"/>
              <a:cs typeface="Arial" panose="020B0604020202020204" pitchFamily="34" charset="0"/>
            </a:rPr>
            <a:t> table contains the indexed estimated embedded costs in the model. These cost are applied in table 4 and table 7.</a:t>
          </a:r>
        </a:p>
        <a:p>
          <a:pPr marL="0" marR="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Arial" panose="020B0604020202020204" pitchFamily="34" charset="0"/>
              <a:ea typeface="+mn-ea"/>
              <a:cs typeface="Arial" panose="020B0604020202020204" pitchFamily="34" charset="0"/>
            </a:rPr>
            <a:t>Please note these have been indexed to 18/19 prices using RPI.</a:t>
          </a:r>
          <a:endParaRPr lang="en-GB" sz="1400">
            <a:effectLst/>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  </a:t>
          </a:r>
          <a:endParaRPr lang="en-GB" sz="1400">
            <a:latin typeface="Arial" panose="020B0604020202020204" pitchFamily="34" charset="0"/>
            <a:cs typeface="Arial" panose="020B0604020202020204" pitchFamily="34" charset="0"/>
          </a:endParaRPr>
        </a:p>
      </xdr:txBody>
    </xdr:sp>
    <xdr:clientData/>
  </xdr:twoCellAnchor>
  <xdr:twoCellAnchor>
    <xdr:from>
      <xdr:col>2</xdr:col>
      <xdr:colOff>93688</xdr:colOff>
      <xdr:row>87</xdr:row>
      <xdr:rowOff>46845</xdr:rowOff>
    </xdr:from>
    <xdr:to>
      <xdr:col>4</xdr:col>
      <xdr:colOff>1514631</xdr:colOff>
      <xdr:row>92</xdr:row>
      <xdr:rowOff>31231</xdr:rowOff>
    </xdr:to>
    <xdr:sp macro="" textlink="">
      <xdr:nvSpPr>
        <xdr:cNvPr id="22" name="TextBox 21">
          <a:extLst>
            <a:ext uri="{FF2B5EF4-FFF2-40B4-BE49-F238E27FC236}">
              <a16:creationId xmlns:a16="http://schemas.microsoft.com/office/drawing/2014/main" id="{9C2D8BED-A64D-4D49-BBE9-A4BA8EF8CCA9}"/>
            </a:ext>
          </a:extLst>
        </xdr:cNvPr>
        <xdr:cNvSpPr txBox="1"/>
      </xdr:nvSpPr>
      <xdr:spPr>
        <a:xfrm>
          <a:off x="2857499" y="23890575"/>
          <a:ext cx="4153525" cy="99934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shows how the ten year discount factor used in this model is calculated and this discount factor is used to calculate the annuitised cost. </a:t>
          </a:r>
          <a:r>
            <a:rPr lang="en-GB" sz="1400">
              <a:latin typeface="Arial" panose="020B0604020202020204" pitchFamily="34" charset="0"/>
              <a:cs typeface="Arial" panose="020B0604020202020204" pitchFamily="34" charset="0"/>
            </a:rPr>
            <a:t> </a:t>
          </a:r>
        </a:p>
      </xdr:txBody>
    </xdr:sp>
    <xdr:clientData/>
  </xdr:twoCellAnchor>
  <xdr:twoCellAnchor>
    <xdr:from>
      <xdr:col>10</xdr:col>
      <xdr:colOff>0</xdr:colOff>
      <xdr:row>106</xdr:row>
      <xdr:rowOff>0</xdr:rowOff>
    </xdr:from>
    <xdr:to>
      <xdr:col>12</xdr:col>
      <xdr:colOff>827582</xdr:colOff>
      <xdr:row>112</xdr:row>
      <xdr:rowOff>171763</xdr:rowOff>
    </xdr:to>
    <xdr:sp macro="" textlink="">
      <xdr:nvSpPr>
        <xdr:cNvPr id="23" name="TextBox 22">
          <a:extLst>
            <a:ext uri="{FF2B5EF4-FFF2-40B4-BE49-F238E27FC236}">
              <a16:creationId xmlns:a16="http://schemas.microsoft.com/office/drawing/2014/main" id="{F2FFFD3E-4E58-4F94-8B19-73BD6A046B31}"/>
            </a:ext>
          </a:extLst>
        </xdr:cNvPr>
        <xdr:cNvSpPr txBox="1"/>
      </xdr:nvSpPr>
      <xdr:spPr>
        <a:xfrm>
          <a:off x="17363607" y="21392213"/>
          <a:ext cx="4137909" cy="1389714"/>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i="0" u="none" strike="noStrike">
              <a:solidFill>
                <a:schemeClr val="dk1"/>
              </a:solidFill>
              <a:effectLst/>
              <a:latin typeface="Arial" panose="020B0604020202020204" pitchFamily="34" charset="0"/>
              <a:ea typeface="+mn-ea"/>
              <a:cs typeface="Arial" panose="020B0604020202020204" pitchFamily="34" charset="0"/>
            </a:rPr>
            <a:t>This table calculates the total project cost per annum made up of annuitised capital costs and ongoing (revenue) costs over a ten year project life using the costs from step 4 and the 10 year discount factor from step 5.</a:t>
          </a:r>
          <a:br>
            <a:rPr lang="en-GB" sz="1400" b="0" i="0" u="none" strike="noStrike">
              <a:solidFill>
                <a:schemeClr val="dk1"/>
              </a:solidFill>
              <a:effectLst/>
              <a:latin typeface="Arial" panose="020B0604020202020204" pitchFamily="34" charset="0"/>
              <a:ea typeface="+mn-ea"/>
              <a:cs typeface="Arial" panose="020B0604020202020204" pitchFamily="34" charset="0"/>
            </a:rPr>
          </a:br>
          <a:br>
            <a:rPr lang="en-GB" sz="1400" b="0" i="0" u="none" strike="noStrike">
              <a:solidFill>
                <a:schemeClr val="dk1"/>
              </a:solidFill>
              <a:effectLst/>
              <a:latin typeface="Arial" panose="020B0604020202020204" pitchFamily="34" charset="0"/>
              <a:ea typeface="+mn-ea"/>
              <a:cs typeface="Arial" panose="020B0604020202020204" pitchFamily="34" charset="0"/>
            </a:rPr>
          </a:br>
          <a:endParaRPr lang="en-GB" sz="14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economy/inflationandpriceindices/timeseries/chaw/mm2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280"/>
  <sheetViews>
    <sheetView showGridLines="0" tabSelected="1" topLeftCell="A235" zoomScale="61" zoomScaleNormal="61" workbookViewId="0">
      <selection activeCell="G248" sqref="G248"/>
    </sheetView>
  </sheetViews>
  <sheetFormatPr defaultColWidth="20.5703125" defaultRowHeight="15.75" x14ac:dyDescent="0.25"/>
  <cols>
    <col min="1" max="1" width="21.5703125" style="25" customWidth="1"/>
    <col min="2" max="2" width="19.85546875" style="4" customWidth="1"/>
    <col min="3" max="3" width="21.140625" style="4" customWidth="1"/>
    <col min="4" max="4" width="20" style="4" customWidth="1"/>
    <col min="5" max="5" width="23.28515625" style="4" customWidth="1"/>
    <col min="6" max="6" width="20" style="4" customWidth="1"/>
    <col min="7" max="7" width="37.42578125" style="4" customWidth="1"/>
    <col min="8" max="8" width="30.7109375" style="4" customWidth="1"/>
    <col min="9" max="9" width="30.140625" style="4" customWidth="1"/>
    <col min="10" max="10" width="36.42578125" style="4" customWidth="1"/>
    <col min="11" max="11" width="25.7109375" style="4" customWidth="1"/>
    <col min="12" max="12" width="24" style="4" customWidth="1"/>
    <col min="13" max="13" width="13.42578125" style="4" customWidth="1"/>
    <col min="14" max="16384" width="20.5703125" style="4"/>
  </cols>
  <sheetData>
    <row r="1" spans="1:41" s="2" customFormat="1" x14ac:dyDescent="0.25">
      <c r="A1" s="1"/>
      <c r="AE1" s="1"/>
    </row>
    <row r="3" spans="1:41" s="2" customFormat="1" x14ac:dyDescent="0.25">
      <c r="A3" s="1" t="s">
        <v>0</v>
      </c>
    </row>
    <row r="4" spans="1:41" x14ac:dyDescent="0.25">
      <c r="A4" s="3"/>
    </row>
    <row r="5" spans="1:41" x14ac:dyDescent="0.25">
      <c r="A5" s="3" t="s">
        <v>1</v>
      </c>
      <c r="B5" s="3" t="s">
        <v>2</v>
      </c>
      <c r="C5" s="3" t="s">
        <v>3</v>
      </c>
      <c r="D5" s="3" t="s">
        <v>4</v>
      </c>
      <c r="E5" s="3" t="s">
        <v>5</v>
      </c>
      <c r="F5" s="3" t="s">
        <v>6</v>
      </c>
      <c r="G5" s="3" t="s">
        <v>7</v>
      </c>
      <c r="H5" s="3" t="s">
        <v>8</v>
      </c>
      <c r="I5" s="3" t="s">
        <v>9</v>
      </c>
      <c r="J5" s="3" t="s">
        <v>10</v>
      </c>
      <c r="K5" s="3"/>
      <c r="L5" s="3"/>
      <c r="N5" s="3"/>
      <c r="AE5" s="3"/>
    </row>
    <row r="6" spans="1:41" x14ac:dyDescent="0.25">
      <c r="A6" s="3">
        <v>15</v>
      </c>
      <c r="B6" s="6">
        <f>A6*$H$153</f>
        <v>165000000</v>
      </c>
      <c r="C6" s="7">
        <v>450</v>
      </c>
      <c r="D6" s="7">
        <v>450</v>
      </c>
      <c r="E6" s="7">
        <v>450</v>
      </c>
      <c r="F6" s="7">
        <v>450</v>
      </c>
      <c r="G6" s="7">
        <v>600</v>
      </c>
      <c r="H6" s="7">
        <v>600</v>
      </c>
      <c r="I6" s="7">
        <v>600</v>
      </c>
      <c r="J6" s="4">
        <v>600</v>
      </c>
      <c r="K6" s="5"/>
      <c r="L6" s="5"/>
      <c r="M6" s="5"/>
      <c r="AE6" s="3"/>
    </row>
    <row r="7" spans="1:41" x14ac:dyDescent="0.25">
      <c r="A7" s="3">
        <v>12</v>
      </c>
      <c r="B7" s="6">
        <f>A7*$H$153</f>
        <v>132000000</v>
      </c>
      <c r="C7" s="7">
        <v>300</v>
      </c>
      <c r="D7" s="7">
        <v>450</v>
      </c>
      <c r="E7" s="7">
        <v>450</v>
      </c>
      <c r="F7" s="7">
        <v>450</v>
      </c>
      <c r="G7" s="7">
        <v>450</v>
      </c>
      <c r="H7" s="7">
        <v>450</v>
      </c>
      <c r="I7" s="7">
        <v>600</v>
      </c>
      <c r="J7" s="4">
        <v>600</v>
      </c>
      <c r="K7" s="7"/>
      <c r="L7" s="7"/>
      <c r="M7" s="5"/>
    </row>
    <row r="8" spans="1:41" x14ac:dyDescent="0.25">
      <c r="A8" s="3">
        <v>10</v>
      </c>
      <c r="B8" s="6">
        <f>A8*$H$153</f>
        <v>110000000</v>
      </c>
      <c r="C8" s="7">
        <v>300</v>
      </c>
      <c r="D8" s="7">
        <v>300</v>
      </c>
      <c r="E8" s="7">
        <v>450</v>
      </c>
      <c r="F8" s="7">
        <v>450</v>
      </c>
      <c r="G8" s="7">
        <v>450</v>
      </c>
      <c r="H8" s="7">
        <v>450</v>
      </c>
      <c r="I8" s="7">
        <v>450</v>
      </c>
      <c r="J8" s="4">
        <v>600</v>
      </c>
      <c r="K8" s="7"/>
      <c r="L8" s="7"/>
      <c r="M8" s="7"/>
    </row>
    <row r="9" spans="1:41" x14ac:dyDescent="0.25">
      <c r="A9" s="3">
        <v>7</v>
      </c>
      <c r="B9" s="6">
        <f>A9*$H$153</f>
        <v>77000000</v>
      </c>
      <c r="C9" s="7">
        <v>300</v>
      </c>
      <c r="D9" s="7">
        <v>300</v>
      </c>
      <c r="E9" s="7">
        <v>300</v>
      </c>
      <c r="F9" s="7">
        <v>300</v>
      </c>
      <c r="G9" s="7">
        <v>450</v>
      </c>
      <c r="H9" s="7">
        <v>450</v>
      </c>
      <c r="I9" s="7">
        <v>450</v>
      </c>
      <c r="J9" s="4">
        <v>450</v>
      </c>
      <c r="K9" s="7"/>
      <c r="L9" s="7"/>
      <c r="M9" s="7"/>
      <c r="AE9" s="8"/>
      <c r="AF9" s="8"/>
      <c r="AG9" s="3"/>
      <c r="AH9" s="8"/>
      <c r="AI9" s="8"/>
      <c r="AJ9" s="8"/>
      <c r="AK9" s="8"/>
      <c r="AL9" s="8"/>
      <c r="AM9" s="8"/>
      <c r="AN9" s="8"/>
      <c r="AO9" s="9"/>
    </row>
    <row r="10" spans="1:41" x14ac:dyDescent="0.25">
      <c r="A10" s="3">
        <v>5</v>
      </c>
      <c r="B10" s="6">
        <f>A10*$H$153</f>
        <v>55000000</v>
      </c>
      <c r="C10" s="7">
        <v>300</v>
      </c>
      <c r="D10" s="7">
        <v>300</v>
      </c>
      <c r="E10" s="7">
        <v>300</v>
      </c>
      <c r="F10" s="7">
        <v>300</v>
      </c>
      <c r="G10" s="7">
        <v>300</v>
      </c>
      <c r="H10" s="7">
        <v>300</v>
      </c>
      <c r="I10" s="7">
        <v>450</v>
      </c>
      <c r="J10" s="4">
        <v>450</v>
      </c>
      <c r="K10" s="7"/>
      <c r="L10" s="7"/>
      <c r="M10" s="7"/>
      <c r="AE10" s="3"/>
      <c r="AF10" s="3"/>
      <c r="AG10" s="8"/>
      <c r="AH10" s="8"/>
      <c r="AI10" s="8"/>
      <c r="AJ10" s="8"/>
      <c r="AK10" s="8"/>
      <c r="AL10" s="8"/>
      <c r="AM10" s="8"/>
      <c r="AN10" s="8"/>
      <c r="AO10" s="9"/>
    </row>
    <row r="11" spans="1:41" x14ac:dyDescent="0.25">
      <c r="A11" s="3">
        <v>4</v>
      </c>
      <c r="B11" s="6">
        <f>A11*$H$153</f>
        <v>44000000</v>
      </c>
      <c r="C11" s="7">
        <v>200</v>
      </c>
      <c r="D11" s="7">
        <v>300</v>
      </c>
      <c r="E11" s="7">
        <v>300</v>
      </c>
      <c r="F11" s="7">
        <v>300</v>
      </c>
      <c r="G11" s="7">
        <v>300</v>
      </c>
      <c r="H11" s="7">
        <v>300</v>
      </c>
      <c r="I11" s="7">
        <v>300</v>
      </c>
      <c r="J11" s="4">
        <v>450</v>
      </c>
      <c r="K11" s="7"/>
      <c r="L11" s="7"/>
      <c r="M11" s="7"/>
      <c r="AE11" s="8"/>
      <c r="AF11" s="10"/>
      <c r="AG11" s="8"/>
      <c r="AH11" s="8"/>
      <c r="AI11" s="8"/>
      <c r="AJ11" s="8"/>
      <c r="AK11" s="8"/>
      <c r="AL11" s="8"/>
      <c r="AM11" s="8"/>
      <c r="AN11" s="8"/>
      <c r="AO11" s="9"/>
    </row>
    <row r="12" spans="1:41" x14ac:dyDescent="0.25">
      <c r="A12" s="3">
        <v>3</v>
      </c>
      <c r="B12" s="6">
        <f>A12*$H$153</f>
        <v>33000000</v>
      </c>
      <c r="C12" s="7">
        <v>200</v>
      </c>
      <c r="D12" s="7">
        <v>200</v>
      </c>
      <c r="E12" s="7">
        <v>200</v>
      </c>
      <c r="F12" s="7">
        <v>300</v>
      </c>
      <c r="G12" s="7">
        <v>300</v>
      </c>
      <c r="H12" s="7">
        <v>300</v>
      </c>
      <c r="I12" s="7">
        <v>300</v>
      </c>
      <c r="J12" s="4">
        <v>300</v>
      </c>
      <c r="K12" s="7"/>
      <c r="L12" s="7"/>
      <c r="M12" s="7"/>
      <c r="AE12" s="8"/>
      <c r="AF12" s="10"/>
      <c r="AG12" s="8"/>
      <c r="AH12" s="8"/>
      <c r="AI12" s="8"/>
      <c r="AJ12" s="8"/>
      <c r="AK12" s="8"/>
      <c r="AL12" s="8"/>
      <c r="AM12" s="8"/>
      <c r="AN12" s="8"/>
      <c r="AO12" s="9"/>
    </row>
    <row r="13" spans="1:41" x14ac:dyDescent="0.25">
      <c r="A13" s="3">
        <v>2</v>
      </c>
      <c r="B13" s="6">
        <f>A13*$H$153</f>
        <v>22000000</v>
      </c>
      <c r="C13" s="7">
        <v>150</v>
      </c>
      <c r="D13" s="7">
        <v>150</v>
      </c>
      <c r="E13" s="7">
        <v>200</v>
      </c>
      <c r="F13" s="7">
        <v>200</v>
      </c>
      <c r="G13" s="7">
        <v>200</v>
      </c>
      <c r="H13" s="7">
        <v>200</v>
      </c>
      <c r="I13" s="7">
        <v>200</v>
      </c>
      <c r="J13" s="4">
        <v>300</v>
      </c>
      <c r="K13" s="7"/>
      <c r="L13" s="7"/>
      <c r="M13" s="7"/>
      <c r="AE13" s="8"/>
      <c r="AF13" s="10"/>
      <c r="AG13" s="8"/>
      <c r="AH13" s="8"/>
      <c r="AI13" s="8"/>
      <c r="AJ13" s="8"/>
      <c r="AK13" s="8"/>
      <c r="AL13" s="8"/>
      <c r="AM13" s="8"/>
      <c r="AN13" s="8"/>
      <c r="AO13" s="9"/>
    </row>
    <row r="14" spans="1:41" x14ac:dyDescent="0.25">
      <c r="A14" s="3">
        <v>1</v>
      </c>
      <c r="B14" s="6">
        <f>A14*$H$153</f>
        <v>11000000</v>
      </c>
      <c r="C14" s="7">
        <v>100</v>
      </c>
      <c r="D14" s="7">
        <v>150</v>
      </c>
      <c r="E14" s="7">
        <v>150</v>
      </c>
      <c r="F14" s="7">
        <v>150</v>
      </c>
      <c r="G14" s="7">
        <v>150</v>
      </c>
      <c r="H14" s="7">
        <v>150</v>
      </c>
      <c r="I14" s="7">
        <v>150</v>
      </c>
      <c r="J14" s="4">
        <v>200</v>
      </c>
      <c r="K14" s="7"/>
      <c r="L14" s="7"/>
      <c r="M14" s="7"/>
      <c r="AE14" s="8"/>
      <c r="AF14" s="10"/>
      <c r="AG14" s="8"/>
      <c r="AH14" s="8"/>
      <c r="AI14" s="8"/>
      <c r="AJ14" s="8"/>
      <c r="AK14" s="8"/>
      <c r="AL14" s="8"/>
      <c r="AM14" s="8"/>
      <c r="AN14" s="8"/>
      <c r="AO14" s="9"/>
    </row>
    <row r="15" spans="1:41" x14ac:dyDescent="0.25">
      <c r="A15" s="3">
        <v>0.5</v>
      </c>
      <c r="B15" s="6">
        <f>A15*$H$153</f>
        <v>5500000</v>
      </c>
      <c r="C15" s="7">
        <v>100</v>
      </c>
      <c r="D15" s="7">
        <v>150</v>
      </c>
      <c r="E15" s="7">
        <v>150</v>
      </c>
      <c r="F15" s="7">
        <v>150</v>
      </c>
      <c r="G15" s="7">
        <v>150</v>
      </c>
      <c r="H15" s="7">
        <v>150</v>
      </c>
      <c r="I15" s="7">
        <v>150</v>
      </c>
      <c r="J15" s="4">
        <v>200</v>
      </c>
      <c r="K15" s="7"/>
      <c r="L15" s="7"/>
      <c r="M15" s="7"/>
      <c r="AE15" s="8"/>
      <c r="AF15" s="10"/>
      <c r="AG15" s="8"/>
      <c r="AH15" s="8"/>
      <c r="AI15" s="8"/>
      <c r="AJ15" s="8"/>
      <c r="AK15" s="8"/>
      <c r="AL15" s="8"/>
      <c r="AM15" s="8"/>
      <c r="AN15" s="8"/>
      <c r="AO15" s="9"/>
    </row>
    <row r="16" spans="1:41" x14ac:dyDescent="0.25">
      <c r="A16" s="3">
        <v>0.4</v>
      </c>
      <c r="B16" s="6">
        <f>A16*$H$153</f>
        <v>4400000</v>
      </c>
      <c r="C16" s="7">
        <v>100</v>
      </c>
      <c r="D16" s="7">
        <v>100</v>
      </c>
      <c r="E16" s="7">
        <v>100</v>
      </c>
      <c r="F16" s="7">
        <v>150</v>
      </c>
      <c r="G16" s="7">
        <v>150</v>
      </c>
      <c r="H16" s="7">
        <v>150</v>
      </c>
      <c r="I16" s="7">
        <v>150</v>
      </c>
      <c r="J16" s="4">
        <v>150</v>
      </c>
      <c r="K16" s="7"/>
      <c r="L16" s="7"/>
      <c r="M16" s="7"/>
      <c r="T16" s="3"/>
      <c r="AE16" s="8"/>
      <c r="AF16" s="10"/>
      <c r="AG16" s="8"/>
      <c r="AH16" s="8"/>
      <c r="AI16" s="8"/>
      <c r="AJ16" s="8"/>
      <c r="AK16" s="8"/>
      <c r="AL16" s="8"/>
      <c r="AM16" s="8"/>
      <c r="AN16" s="8"/>
      <c r="AO16" s="9"/>
    </row>
    <row r="17" spans="1:50" x14ac:dyDescent="0.25">
      <c r="A17" s="3">
        <v>0.3</v>
      </c>
      <c r="B17" s="6">
        <f>A17*$H$153</f>
        <v>3300000</v>
      </c>
      <c r="C17" s="7">
        <v>100</v>
      </c>
      <c r="D17" s="7">
        <v>100</v>
      </c>
      <c r="E17" s="7">
        <v>100</v>
      </c>
      <c r="F17" s="7">
        <v>100</v>
      </c>
      <c r="G17" s="7">
        <v>100</v>
      </c>
      <c r="H17" s="7">
        <v>100</v>
      </c>
      <c r="I17" s="7">
        <v>150</v>
      </c>
      <c r="J17" s="4">
        <v>150</v>
      </c>
      <c r="K17" s="7"/>
      <c r="L17" s="7"/>
      <c r="M17" s="7"/>
      <c r="T17" s="3"/>
      <c r="AE17" s="8"/>
      <c r="AF17" s="10"/>
      <c r="AG17" s="8"/>
      <c r="AH17" s="8"/>
      <c r="AI17" s="8"/>
      <c r="AJ17" s="8"/>
      <c r="AK17" s="8"/>
      <c r="AL17" s="8"/>
      <c r="AM17" s="8"/>
      <c r="AN17" s="8"/>
      <c r="AO17" s="9"/>
    </row>
    <row r="18" spans="1:50" x14ac:dyDescent="0.25">
      <c r="A18" s="3">
        <v>0.2</v>
      </c>
      <c r="B18" s="6">
        <f>A18*$H$153</f>
        <v>2200000</v>
      </c>
      <c r="C18" s="7">
        <v>50</v>
      </c>
      <c r="D18" s="7">
        <v>100</v>
      </c>
      <c r="E18" s="7">
        <v>100</v>
      </c>
      <c r="F18" s="7">
        <v>100</v>
      </c>
      <c r="G18" s="7">
        <v>100</v>
      </c>
      <c r="H18" s="7">
        <v>100</v>
      </c>
      <c r="I18" s="7">
        <v>100</v>
      </c>
      <c r="J18" s="4">
        <v>150</v>
      </c>
      <c r="K18" s="7"/>
      <c r="L18" s="7"/>
      <c r="M18" s="7"/>
      <c r="T18" s="3"/>
      <c r="AE18" s="8"/>
      <c r="AF18" s="10"/>
      <c r="AG18" s="8"/>
      <c r="AH18" s="8"/>
      <c r="AI18" s="8"/>
      <c r="AJ18" s="8"/>
      <c r="AK18" s="8"/>
      <c r="AL18" s="8"/>
      <c r="AM18" s="8"/>
      <c r="AN18" s="8"/>
      <c r="AO18" s="9"/>
    </row>
    <row r="19" spans="1:50" x14ac:dyDescent="0.25">
      <c r="A19" s="3">
        <v>0.1</v>
      </c>
      <c r="B19" s="6">
        <f>A19*$H$153</f>
        <v>1100000</v>
      </c>
      <c r="C19" s="7">
        <v>50</v>
      </c>
      <c r="D19" s="7">
        <v>100</v>
      </c>
      <c r="E19" s="7">
        <v>100</v>
      </c>
      <c r="F19" s="7">
        <v>100</v>
      </c>
      <c r="G19" s="7">
        <v>100</v>
      </c>
      <c r="H19" s="7">
        <v>100</v>
      </c>
      <c r="I19" s="7">
        <v>100</v>
      </c>
      <c r="J19" s="4">
        <v>100</v>
      </c>
      <c r="K19" s="7"/>
      <c r="L19" s="7"/>
      <c r="M19" s="7"/>
      <c r="AE19" s="8"/>
      <c r="AF19" s="10"/>
      <c r="AG19" s="8"/>
      <c r="AH19" s="8"/>
      <c r="AI19" s="8"/>
      <c r="AJ19" s="8"/>
      <c r="AK19" s="8"/>
      <c r="AL19" s="8"/>
      <c r="AM19" s="8"/>
      <c r="AN19" s="8"/>
      <c r="AO19" s="9"/>
    </row>
    <row r="20" spans="1:50" x14ac:dyDescent="0.25">
      <c r="A20" s="3"/>
      <c r="B20" s="6"/>
      <c r="C20" s="7"/>
      <c r="D20" s="7"/>
      <c r="E20" s="7"/>
      <c r="F20" s="7"/>
      <c r="G20" s="7"/>
      <c r="H20" s="7"/>
      <c r="I20" s="7"/>
      <c r="K20" s="7"/>
      <c r="L20" s="7"/>
      <c r="M20" s="7"/>
      <c r="AE20" s="8"/>
      <c r="AF20" s="10"/>
      <c r="AG20" s="8"/>
      <c r="AH20" s="8"/>
      <c r="AI20" s="8"/>
      <c r="AJ20" s="8"/>
      <c r="AK20" s="8"/>
      <c r="AL20" s="8"/>
      <c r="AM20" s="8"/>
      <c r="AN20" s="8"/>
      <c r="AO20" s="9"/>
    </row>
    <row r="21" spans="1:50" x14ac:dyDescent="0.25">
      <c r="A21" s="1" t="s">
        <v>11</v>
      </c>
      <c r="B21" s="6"/>
      <c r="AE21" s="8"/>
      <c r="AF21" s="10"/>
      <c r="AG21" s="8"/>
      <c r="AH21" s="8"/>
      <c r="AI21" s="8"/>
      <c r="AJ21" s="8"/>
      <c r="AK21" s="8"/>
      <c r="AL21" s="8"/>
      <c r="AM21" s="8"/>
      <c r="AN21" s="8"/>
      <c r="AO21" s="9"/>
    </row>
    <row r="22" spans="1:50" s="2" customFormat="1" x14ac:dyDescent="0.25">
      <c r="A22" s="11"/>
      <c r="B22" s="12"/>
      <c r="C22" s="14" t="s">
        <v>12</v>
      </c>
      <c r="D22" s="14"/>
      <c r="AE22" s="15"/>
      <c r="AF22" s="16"/>
      <c r="AG22" s="15"/>
      <c r="AH22" s="15"/>
      <c r="AI22" s="15"/>
      <c r="AJ22" s="15"/>
      <c r="AK22" s="15"/>
      <c r="AL22" s="15"/>
      <c r="AM22" s="15"/>
      <c r="AN22" s="15"/>
      <c r="AO22" s="17"/>
      <c r="AR22" s="15"/>
    </row>
    <row r="23" spans="1:50" ht="17.25" customHeight="1" x14ac:dyDescent="0.25">
      <c r="A23" s="13" t="s">
        <v>13</v>
      </c>
      <c r="B23" s="18" t="s">
        <v>14</v>
      </c>
      <c r="C23" s="13" t="s">
        <v>617</v>
      </c>
      <c r="D23" s="13" t="s">
        <v>618</v>
      </c>
      <c r="AE23" s="8"/>
      <c r="AF23" s="10"/>
      <c r="AG23" s="8"/>
      <c r="AH23" s="8"/>
      <c r="AI23" s="8"/>
      <c r="AJ23" s="8"/>
      <c r="AK23" s="8"/>
      <c r="AL23" s="8"/>
      <c r="AM23" s="8"/>
      <c r="AN23" s="8"/>
      <c r="AO23" s="9"/>
      <c r="AP23" s="8"/>
      <c r="AQ23" s="8"/>
      <c r="AR23" s="8"/>
      <c r="AS23" s="8"/>
      <c r="AT23" s="8"/>
      <c r="AU23" s="8"/>
      <c r="AV23" s="8"/>
      <c r="AW23" s="8"/>
      <c r="AX23" s="8"/>
    </row>
    <row r="24" spans="1:50" x14ac:dyDescent="0.25">
      <c r="A24" s="19" t="s">
        <v>15</v>
      </c>
      <c r="B24" s="19" t="s">
        <v>16</v>
      </c>
      <c r="C24" s="20">
        <f>'Inflation assumptions'!G5</f>
        <v>1.7310132483210103</v>
      </c>
      <c r="D24" s="21" t="s">
        <v>16</v>
      </c>
      <c r="AE24" s="9"/>
      <c r="AF24" s="9"/>
      <c r="AG24" s="9"/>
      <c r="AH24" s="9"/>
      <c r="AI24" s="9"/>
      <c r="AJ24" s="9"/>
      <c r="AK24" s="9"/>
      <c r="AL24" s="9"/>
      <c r="AM24" s="9"/>
      <c r="AN24" s="9"/>
      <c r="AP24" s="8"/>
      <c r="AQ24" s="8"/>
      <c r="AR24" s="8"/>
      <c r="AS24" s="8"/>
      <c r="AT24" s="8"/>
      <c r="AU24" s="8"/>
      <c r="AV24" s="8"/>
      <c r="AW24" s="8"/>
      <c r="AX24" s="8"/>
    </row>
    <row r="25" spans="1:50" x14ac:dyDescent="0.25">
      <c r="A25" s="3">
        <v>50</v>
      </c>
      <c r="B25" s="6">
        <v>125000</v>
      </c>
      <c r="C25" s="22">
        <f>B25*$C$24</f>
        <v>216376.65604012628</v>
      </c>
      <c r="D25" s="22">
        <f>C25</f>
        <v>216376.65604012628</v>
      </c>
      <c r="F25" s="3"/>
      <c r="I25" s="6"/>
      <c r="AP25" s="8"/>
      <c r="AQ25" s="8"/>
      <c r="AR25" s="8"/>
      <c r="AS25" s="8"/>
      <c r="AT25" s="8"/>
      <c r="AU25" s="8"/>
      <c r="AV25" s="8"/>
      <c r="AW25" s="8"/>
      <c r="AX25" s="8"/>
    </row>
    <row r="26" spans="1:50" x14ac:dyDescent="0.25">
      <c r="A26" s="3">
        <v>100</v>
      </c>
      <c r="B26" s="6">
        <v>150000</v>
      </c>
      <c r="C26" s="22">
        <f>B26*$C$24</f>
        <v>259651.98724815156</v>
      </c>
      <c r="D26" s="22">
        <f t="shared" ref="D26:D31" si="0">C26</f>
        <v>259651.98724815156</v>
      </c>
      <c r="F26" s="3"/>
      <c r="I26" s="6"/>
      <c r="AP26" s="8"/>
      <c r="AQ26" s="8"/>
      <c r="AR26" s="8"/>
      <c r="AS26" s="8"/>
      <c r="AT26" s="8"/>
      <c r="AU26" s="8"/>
      <c r="AV26" s="8"/>
      <c r="AW26" s="8"/>
      <c r="AX26" s="8"/>
    </row>
    <row r="27" spans="1:50" x14ac:dyDescent="0.25">
      <c r="A27" s="3">
        <v>150</v>
      </c>
      <c r="B27" s="6">
        <v>187500</v>
      </c>
      <c r="C27" s="22">
        <f>B27*$C$24</f>
        <v>324564.98406018945</v>
      </c>
      <c r="D27" s="22">
        <f t="shared" si="0"/>
        <v>324564.98406018945</v>
      </c>
      <c r="I27" s="6"/>
      <c r="AE27" s="3"/>
      <c r="AF27" s="6"/>
      <c r="AP27" s="8"/>
      <c r="AQ27" s="8"/>
      <c r="AR27" s="8"/>
      <c r="AS27" s="8"/>
      <c r="AT27" s="8"/>
      <c r="AU27" s="8"/>
      <c r="AV27" s="8"/>
      <c r="AW27" s="8"/>
      <c r="AX27" s="8"/>
    </row>
    <row r="28" spans="1:50" x14ac:dyDescent="0.25">
      <c r="A28" s="3">
        <v>200</v>
      </c>
      <c r="B28" s="6">
        <v>202500</v>
      </c>
      <c r="C28" s="22">
        <f>B28*$C$24</f>
        <v>350530.18278500461</v>
      </c>
      <c r="D28" s="22">
        <f t="shared" si="0"/>
        <v>350530.18278500461</v>
      </c>
      <c r="I28" s="6"/>
      <c r="AF28" s="6"/>
      <c r="AP28" s="8"/>
      <c r="AQ28" s="8"/>
      <c r="AR28" s="8"/>
      <c r="AS28" s="8"/>
      <c r="AT28" s="8"/>
      <c r="AU28" s="8"/>
      <c r="AV28" s="8"/>
      <c r="AW28" s="8"/>
      <c r="AX28" s="8"/>
    </row>
    <row r="29" spans="1:50" x14ac:dyDescent="0.25">
      <c r="A29" s="3">
        <v>300</v>
      </c>
      <c r="B29" s="6">
        <v>238750</v>
      </c>
      <c r="C29" s="22">
        <f>B29*$C$24</f>
        <v>413279.4130366412</v>
      </c>
      <c r="D29" s="22">
        <f t="shared" si="0"/>
        <v>413279.4130366412</v>
      </c>
      <c r="I29" s="6"/>
      <c r="AP29" s="8"/>
      <c r="AQ29" s="8"/>
      <c r="AR29" s="8"/>
      <c r="AS29" s="8"/>
      <c r="AT29" s="8"/>
      <c r="AU29" s="8"/>
      <c r="AV29" s="8"/>
      <c r="AW29" s="8"/>
      <c r="AX29" s="8"/>
    </row>
    <row r="30" spans="1:50" x14ac:dyDescent="0.25">
      <c r="A30" s="3">
        <v>450</v>
      </c>
      <c r="B30" s="6">
        <v>355000</v>
      </c>
      <c r="C30" s="22">
        <f>B30*$C$24</f>
        <v>614509.70315395866</v>
      </c>
      <c r="D30" s="22">
        <f t="shared" si="0"/>
        <v>614509.70315395866</v>
      </c>
      <c r="I30" s="6"/>
      <c r="AP30" s="8"/>
      <c r="AQ30" s="8"/>
      <c r="AR30" s="8"/>
      <c r="AS30" s="8"/>
      <c r="AT30" s="8"/>
      <c r="AU30" s="8"/>
      <c r="AV30" s="8"/>
      <c r="AW30" s="8"/>
      <c r="AX30" s="8"/>
    </row>
    <row r="31" spans="1:50" x14ac:dyDescent="0.25">
      <c r="A31" s="3">
        <v>600</v>
      </c>
      <c r="B31" s="6">
        <v>414000</v>
      </c>
      <c r="C31" s="22">
        <f>B31*$C$24</f>
        <v>716639.48480489827</v>
      </c>
      <c r="D31" s="22">
        <f t="shared" si="0"/>
        <v>716639.48480489827</v>
      </c>
      <c r="I31" s="6"/>
      <c r="AE31" s="8"/>
      <c r="AF31" s="8"/>
      <c r="AG31" s="9"/>
      <c r="AP31" s="8"/>
      <c r="AQ31" s="8"/>
      <c r="AR31" s="8"/>
      <c r="AS31" s="8"/>
      <c r="AT31" s="8"/>
      <c r="AU31" s="8"/>
      <c r="AV31" s="8"/>
      <c r="AW31" s="8"/>
      <c r="AX31" s="8"/>
    </row>
    <row r="32" spans="1:50" x14ac:dyDescent="0.25">
      <c r="A32" s="3"/>
      <c r="B32" s="6"/>
      <c r="AE32" s="8"/>
      <c r="AF32" s="8"/>
      <c r="AG32" s="9"/>
      <c r="AP32" s="8"/>
      <c r="AQ32" s="8"/>
      <c r="AR32" s="8"/>
      <c r="AS32" s="8"/>
      <c r="AT32" s="8"/>
      <c r="AU32" s="8"/>
      <c r="AV32" s="8"/>
      <c r="AW32" s="8"/>
      <c r="AX32" s="8"/>
    </row>
    <row r="33" spans="1:50" x14ac:dyDescent="0.25">
      <c r="A33" s="3"/>
      <c r="B33" s="6"/>
      <c r="C33" s="23"/>
      <c r="AE33" s="8"/>
      <c r="AF33" s="8"/>
      <c r="AG33" s="9"/>
      <c r="AP33" s="8"/>
      <c r="AQ33" s="8"/>
      <c r="AR33" s="8"/>
      <c r="AS33" s="8"/>
      <c r="AT33" s="8"/>
      <c r="AU33" s="8"/>
      <c r="AV33" s="8"/>
      <c r="AW33" s="8"/>
      <c r="AX33" s="8"/>
    </row>
    <row r="34" spans="1:50" x14ac:dyDescent="0.25">
      <c r="A34" s="3"/>
      <c r="B34" s="6"/>
      <c r="AE34" s="8"/>
      <c r="AF34" s="8"/>
      <c r="AG34" s="9"/>
      <c r="AP34" s="8"/>
      <c r="AQ34" s="8"/>
      <c r="AR34" s="8"/>
      <c r="AS34" s="8"/>
      <c r="AT34" s="8"/>
      <c r="AU34" s="8"/>
      <c r="AV34" s="8"/>
      <c r="AW34" s="8"/>
      <c r="AX34" s="8"/>
    </row>
    <row r="35" spans="1:50" x14ac:dyDescent="0.25">
      <c r="A35" s="24" t="s">
        <v>17</v>
      </c>
      <c r="B35" s="6"/>
      <c r="AE35" s="8"/>
      <c r="AF35" s="8"/>
      <c r="AG35" s="9"/>
      <c r="AP35" s="8"/>
      <c r="AQ35" s="8"/>
      <c r="AR35" s="8"/>
      <c r="AS35" s="8"/>
      <c r="AT35" s="8"/>
      <c r="AU35" s="8"/>
      <c r="AV35" s="8"/>
      <c r="AW35" s="8"/>
      <c r="AX35" s="8"/>
    </row>
    <row r="36" spans="1:50" x14ac:dyDescent="0.25">
      <c r="E36" s="160" t="s">
        <v>12</v>
      </c>
      <c r="AE36" s="8"/>
      <c r="AF36" s="8"/>
      <c r="AG36" s="9"/>
      <c r="AP36" s="8"/>
      <c r="AQ36" s="8"/>
      <c r="AR36" s="8"/>
      <c r="AS36" s="8"/>
      <c r="AT36" s="8"/>
      <c r="AU36" s="8"/>
      <c r="AV36" s="8"/>
      <c r="AW36" s="8"/>
      <c r="AX36" s="8"/>
    </row>
    <row r="37" spans="1:50" x14ac:dyDescent="0.25">
      <c r="E37" s="21" t="str">
        <f>C23</f>
        <v>18/19 Prices</v>
      </c>
      <c r="AE37" s="8"/>
      <c r="AF37" s="8"/>
      <c r="AG37" s="9"/>
      <c r="AP37" s="8"/>
      <c r="AQ37" s="8"/>
      <c r="AR37" s="8"/>
      <c r="AS37" s="8"/>
      <c r="AT37" s="8"/>
      <c r="AU37" s="8"/>
      <c r="AV37" s="8"/>
      <c r="AW37" s="8"/>
      <c r="AX37" s="8"/>
    </row>
    <row r="38" spans="1:50" x14ac:dyDescent="0.25">
      <c r="A38" s="1" t="s">
        <v>18</v>
      </c>
      <c r="B38" s="8" t="s">
        <v>19</v>
      </c>
      <c r="C38" s="8" t="s">
        <v>20</v>
      </c>
      <c r="E38" s="20">
        <f>C24</f>
        <v>1.7310132483210103</v>
      </c>
      <c r="F38" s="3"/>
      <c r="G38" s="3"/>
      <c r="AE38" s="8"/>
      <c r="AF38" s="8"/>
      <c r="AG38" s="9"/>
      <c r="AP38" s="8"/>
      <c r="AQ38" s="8"/>
      <c r="AR38" s="8"/>
      <c r="AS38" s="8"/>
      <c r="AT38" s="8"/>
      <c r="AU38" s="8"/>
      <c r="AV38" s="8"/>
      <c r="AW38" s="8"/>
      <c r="AX38" s="8"/>
    </row>
    <row r="39" spans="1:50" x14ac:dyDescent="0.25">
      <c r="A39" s="3">
        <v>15</v>
      </c>
      <c r="B39" s="26">
        <v>600</v>
      </c>
      <c r="C39" s="26">
        <v>3525</v>
      </c>
      <c r="E39" s="27">
        <f>C39*$E$38</f>
        <v>6101.8217003315613</v>
      </c>
      <c r="F39" s="27"/>
      <c r="G39" s="27"/>
      <c r="AE39" s="8"/>
      <c r="AF39" s="8"/>
      <c r="AG39" s="9"/>
      <c r="AP39" s="8"/>
      <c r="AQ39" s="8"/>
      <c r="AR39" s="8"/>
      <c r="AS39" s="8"/>
      <c r="AT39" s="8"/>
      <c r="AU39" s="8"/>
      <c r="AV39" s="8"/>
      <c r="AW39" s="8"/>
      <c r="AX39" s="8"/>
    </row>
    <row r="40" spans="1:50" x14ac:dyDescent="0.25">
      <c r="A40" s="3">
        <v>12</v>
      </c>
      <c r="B40" s="26">
        <v>450</v>
      </c>
      <c r="C40" s="26">
        <v>3130</v>
      </c>
      <c r="E40" s="27">
        <f>C40*$E$38</f>
        <v>5418.0714672447621</v>
      </c>
      <c r="F40" s="27"/>
      <c r="G40" s="27"/>
      <c r="AE40" s="8"/>
      <c r="AF40" s="8"/>
      <c r="AG40" s="9"/>
      <c r="AP40" s="8"/>
      <c r="AQ40" s="8"/>
      <c r="AR40" s="8"/>
      <c r="AS40" s="8"/>
      <c r="AT40" s="8"/>
      <c r="AU40" s="8"/>
      <c r="AV40" s="8"/>
      <c r="AW40" s="8"/>
      <c r="AX40" s="8"/>
    </row>
    <row r="41" spans="1:50" x14ac:dyDescent="0.25">
      <c r="A41" s="3">
        <v>10</v>
      </c>
      <c r="B41" s="26">
        <v>450</v>
      </c>
      <c r="C41" s="26">
        <v>2930</v>
      </c>
      <c r="E41" s="27">
        <f>C41*$E$38</f>
        <v>5071.8688175805601</v>
      </c>
      <c r="F41" s="27"/>
      <c r="G41" s="27"/>
      <c r="AE41" s="8"/>
      <c r="AF41" s="8"/>
      <c r="AG41" s="9"/>
      <c r="AP41" s="8"/>
      <c r="AQ41" s="8"/>
      <c r="AR41" s="8"/>
      <c r="AS41" s="8"/>
      <c r="AT41" s="8"/>
      <c r="AU41" s="8"/>
      <c r="AV41" s="8"/>
      <c r="AW41" s="8"/>
      <c r="AX41" s="8"/>
    </row>
    <row r="42" spans="1:50" x14ac:dyDescent="0.25">
      <c r="A42" s="3">
        <v>7</v>
      </c>
      <c r="B42" s="26">
        <v>450</v>
      </c>
      <c r="C42" s="26">
        <v>2630</v>
      </c>
      <c r="E42" s="27">
        <f>C42*$E$38</f>
        <v>4552.5648430842575</v>
      </c>
      <c r="F42" s="27"/>
      <c r="G42" s="27"/>
      <c r="AE42" s="8"/>
      <c r="AF42" s="8"/>
      <c r="AG42" s="9"/>
      <c r="AP42" s="8"/>
      <c r="AQ42" s="8"/>
      <c r="AR42" s="8"/>
      <c r="AS42" s="8"/>
      <c r="AT42" s="8"/>
      <c r="AU42" s="8"/>
      <c r="AV42" s="8"/>
      <c r="AW42" s="8"/>
      <c r="AX42" s="8"/>
    </row>
    <row r="43" spans="1:50" x14ac:dyDescent="0.25">
      <c r="A43" s="3">
        <v>5</v>
      </c>
      <c r="B43" s="26">
        <v>450</v>
      </c>
      <c r="C43" s="26">
        <v>2630</v>
      </c>
      <c r="E43" s="27">
        <f>C43*$E$38</f>
        <v>4552.5648430842575</v>
      </c>
      <c r="F43" s="27"/>
      <c r="G43" s="27"/>
      <c r="AE43" s="8"/>
      <c r="AF43" s="8"/>
      <c r="AG43" s="9"/>
      <c r="AP43" s="8"/>
      <c r="AQ43" s="8"/>
      <c r="AR43" s="8"/>
      <c r="AS43" s="8"/>
      <c r="AT43" s="8"/>
      <c r="AU43" s="8"/>
      <c r="AV43" s="8"/>
      <c r="AW43" s="8"/>
      <c r="AX43" s="8"/>
    </row>
    <row r="44" spans="1:50" x14ac:dyDescent="0.25">
      <c r="A44" s="3">
        <v>4</v>
      </c>
      <c r="B44" s="26">
        <v>300</v>
      </c>
      <c r="C44" s="26">
        <v>2275</v>
      </c>
      <c r="E44" s="27">
        <f>C44*$E$38</f>
        <v>3938.0551399302985</v>
      </c>
      <c r="F44" s="27"/>
      <c r="G44" s="27"/>
      <c r="AE44" s="8"/>
      <c r="AF44" s="8"/>
      <c r="AG44" s="9"/>
      <c r="AP44" s="8"/>
      <c r="AQ44" s="8"/>
      <c r="AR44" s="8"/>
      <c r="AS44" s="8"/>
      <c r="AT44" s="8"/>
      <c r="AU44" s="8"/>
      <c r="AV44" s="8"/>
      <c r="AW44" s="8"/>
      <c r="AX44" s="8"/>
    </row>
    <row r="45" spans="1:50" x14ac:dyDescent="0.25">
      <c r="A45" s="3">
        <v>3</v>
      </c>
      <c r="B45" s="26">
        <v>300</v>
      </c>
      <c r="C45" s="26">
        <v>1940</v>
      </c>
      <c r="E45" s="27">
        <f>C45*$E$38</f>
        <v>3358.1657017427601</v>
      </c>
      <c r="F45" s="27"/>
      <c r="G45" s="27"/>
      <c r="AE45" s="8"/>
      <c r="AF45" s="8"/>
      <c r="AG45" s="9"/>
      <c r="AP45" s="8"/>
      <c r="AQ45" s="8"/>
      <c r="AR45" s="8"/>
      <c r="AS45" s="8"/>
      <c r="AT45" s="8"/>
      <c r="AU45" s="8"/>
      <c r="AV45" s="8"/>
      <c r="AW45" s="8"/>
      <c r="AX45" s="8"/>
    </row>
    <row r="46" spans="1:50" x14ac:dyDescent="0.25">
      <c r="A46" s="3">
        <v>2</v>
      </c>
      <c r="B46" s="26">
        <v>200</v>
      </c>
      <c r="C46" s="26">
        <v>1905</v>
      </c>
      <c r="E46" s="27">
        <f>C46*$E$38</f>
        <v>3297.5802380515247</v>
      </c>
      <c r="F46" s="27"/>
      <c r="G46" s="27"/>
      <c r="AE46" s="8"/>
      <c r="AF46" s="8"/>
      <c r="AG46" s="9"/>
      <c r="AP46" s="8"/>
      <c r="AQ46" s="8"/>
      <c r="AR46" s="8"/>
      <c r="AS46" s="8"/>
      <c r="AT46" s="8"/>
      <c r="AU46" s="8"/>
      <c r="AV46" s="8"/>
      <c r="AW46" s="8"/>
      <c r="AX46" s="8"/>
    </row>
    <row r="47" spans="1:50" x14ac:dyDescent="0.25">
      <c r="A47" s="3">
        <v>1</v>
      </c>
      <c r="B47" s="26">
        <v>150</v>
      </c>
      <c r="C47" s="26">
        <v>1505</v>
      </c>
      <c r="E47" s="27">
        <f>C47*$E$38</f>
        <v>2605.1749387231207</v>
      </c>
      <c r="F47" s="27"/>
      <c r="G47" s="27"/>
      <c r="AE47" s="8"/>
      <c r="AF47" s="8"/>
      <c r="AG47" s="9"/>
      <c r="AP47" s="8"/>
      <c r="AQ47" s="8"/>
      <c r="AR47" s="8"/>
      <c r="AS47" s="8"/>
      <c r="AT47" s="8"/>
      <c r="AU47" s="8"/>
      <c r="AV47" s="8"/>
      <c r="AW47" s="8"/>
      <c r="AX47" s="8"/>
    </row>
    <row r="48" spans="1:50" x14ac:dyDescent="0.25">
      <c r="A48" s="3">
        <v>0.5</v>
      </c>
      <c r="B48" s="26">
        <v>100</v>
      </c>
      <c r="C48" s="26">
        <v>1095</v>
      </c>
      <c r="E48" s="27">
        <f>C48*$E$38</f>
        <v>1895.4595069115064</v>
      </c>
      <c r="F48" s="27"/>
      <c r="G48" s="27"/>
      <c r="AE48" s="8"/>
      <c r="AF48" s="8"/>
      <c r="AG48" s="9"/>
      <c r="AP48" s="8"/>
      <c r="AQ48" s="8"/>
      <c r="AR48" s="8"/>
      <c r="AS48" s="8"/>
      <c r="AT48" s="8"/>
      <c r="AU48" s="8"/>
      <c r="AV48" s="8"/>
      <c r="AW48" s="8"/>
      <c r="AX48" s="8"/>
    </row>
    <row r="49" spans="1:50" x14ac:dyDescent="0.25">
      <c r="A49" s="3">
        <v>0.4</v>
      </c>
      <c r="B49" s="26">
        <v>100</v>
      </c>
      <c r="C49" s="26">
        <v>1095</v>
      </c>
      <c r="E49" s="27">
        <f>C49*$E$38</f>
        <v>1895.4595069115064</v>
      </c>
      <c r="F49" s="27"/>
      <c r="G49" s="27"/>
      <c r="AE49" s="8"/>
      <c r="AF49" s="8"/>
      <c r="AG49" s="9"/>
      <c r="AP49" s="8"/>
      <c r="AQ49" s="8"/>
      <c r="AR49" s="8"/>
      <c r="AS49" s="8"/>
      <c r="AT49" s="8"/>
      <c r="AU49" s="8"/>
      <c r="AV49" s="8"/>
      <c r="AW49" s="8"/>
      <c r="AX49" s="8"/>
    </row>
    <row r="50" spans="1:50" x14ac:dyDescent="0.25">
      <c r="A50" s="3">
        <v>0.3</v>
      </c>
      <c r="B50" s="26">
        <v>100</v>
      </c>
      <c r="C50" s="26">
        <v>915</v>
      </c>
      <c r="E50" s="27">
        <f>C50*$E$38</f>
        <v>1583.8771222137245</v>
      </c>
      <c r="F50" s="27"/>
      <c r="G50" s="27"/>
      <c r="AE50" s="8"/>
      <c r="AF50" s="8"/>
      <c r="AG50" s="9"/>
      <c r="AP50" s="8"/>
      <c r="AQ50" s="8"/>
      <c r="AR50" s="8"/>
      <c r="AS50" s="8"/>
      <c r="AT50" s="8"/>
      <c r="AU50" s="8"/>
      <c r="AV50" s="8"/>
      <c r="AW50" s="8"/>
      <c r="AX50" s="8"/>
    </row>
    <row r="51" spans="1:50" x14ac:dyDescent="0.25">
      <c r="A51" s="3">
        <v>0.2</v>
      </c>
      <c r="B51" s="26">
        <v>100</v>
      </c>
      <c r="C51" s="26">
        <v>915</v>
      </c>
      <c r="E51" s="27">
        <f>C51*$E$38</f>
        <v>1583.8771222137245</v>
      </c>
      <c r="F51" s="27"/>
      <c r="G51" s="27"/>
      <c r="AE51" s="8"/>
      <c r="AF51" s="8"/>
      <c r="AG51" s="9"/>
      <c r="AP51" s="8"/>
      <c r="AQ51" s="8"/>
      <c r="AR51" s="8"/>
      <c r="AS51" s="8"/>
      <c r="AT51" s="8"/>
      <c r="AU51" s="8"/>
      <c r="AV51" s="8"/>
      <c r="AW51" s="8"/>
      <c r="AX51" s="8"/>
    </row>
    <row r="52" spans="1:50" x14ac:dyDescent="0.25">
      <c r="A52" s="3">
        <v>0.1</v>
      </c>
      <c r="B52" s="26">
        <v>100</v>
      </c>
      <c r="C52" s="26">
        <v>770</v>
      </c>
      <c r="E52" s="27">
        <f>C52*$E$38</f>
        <v>1332.8802012071781</v>
      </c>
      <c r="F52" s="27"/>
      <c r="G52" s="27"/>
      <c r="AE52" s="8"/>
      <c r="AF52" s="8"/>
      <c r="AG52" s="9"/>
      <c r="AP52" s="8"/>
      <c r="AQ52" s="8"/>
      <c r="AR52" s="8"/>
      <c r="AS52" s="8"/>
      <c r="AT52" s="8"/>
      <c r="AU52" s="8"/>
      <c r="AV52" s="8"/>
      <c r="AW52" s="8"/>
      <c r="AX52" s="8"/>
    </row>
    <row r="53" spans="1:50" x14ac:dyDescent="0.25">
      <c r="A53" s="3"/>
      <c r="B53" s="26"/>
      <c r="AE53" s="8"/>
      <c r="AF53" s="8"/>
      <c r="AG53" s="9"/>
      <c r="AP53" s="8"/>
      <c r="AQ53" s="8"/>
      <c r="AR53" s="8"/>
      <c r="AS53" s="8"/>
      <c r="AT53" s="8"/>
      <c r="AU53" s="8"/>
      <c r="AV53" s="8"/>
      <c r="AW53" s="8"/>
      <c r="AX53" s="8"/>
    </row>
    <row r="54" spans="1:50" ht="15" x14ac:dyDescent="0.2">
      <c r="A54" s="4"/>
      <c r="AE54" s="8"/>
      <c r="AF54" s="8"/>
      <c r="AG54" s="9"/>
      <c r="AP54" s="8"/>
      <c r="AQ54" s="8"/>
      <c r="AR54" s="8"/>
      <c r="AS54" s="8"/>
      <c r="AT54" s="8"/>
      <c r="AU54" s="8"/>
      <c r="AV54" s="8"/>
      <c r="AW54" s="8"/>
      <c r="AX54" s="8"/>
    </row>
    <row r="55" spans="1:50" x14ac:dyDescent="0.25">
      <c r="A55" s="4"/>
      <c r="B55" s="161" t="s">
        <v>12</v>
      </c>
      <c r="C55" s="162"/>
      <c r="AE55" s="8"/>
      <c r="AF55" s="8"/>
      <c r="AG55" s="9"/>
      <c r="AP55" s="8"/>
      <c r="AQ55" s="8"/>
      <c r="AR55" s="8"/>
      <c r="AS55" s="8"/>
      <c r="AT55" s="8"/>
      <c r="AU55" s="8"/>
      <c r="AV55" s="8"/>
      <c r="AW55" s="8"/>
      <c r="AX55" s="8"/>
    </row>
    <row r="56" spans="1:50" x14ac:dyDescent="0.25">
      <c r="A56" s="4"/>
      <c r="B56" s="28"/>
      <c r="C56" s="29" t="str">
        <f>C23</f>
        <v>18/19 Prices</v>
      </c>
      <c r="AE56" s="8"/>
      <c r="AF56" s="8"/>
      <c r="AG56" s="9"/>
      <c r="AP56" s="8"/>
      <c r="AQ56" s="8"/>
      <c r="AR56" s="8"/>
      <c r="AS56" s="8"/>
      <c r="AT56" s="8"/>
      <c r="AU56" s="8"/>
      <c r="AV56" s="8"/>
      <c r="AW56" s="8"/>
      <c r="AX56" s="8"/>
    </row>
    <row r="57" spans="1:50" x14ac:dyDescent="0.25">
      <c r="A57" s="13" t="s">
        <v>21</v>
      </c>
      <c r="B57" s="13"/>
      <c r="C57" s="30">
        <f>C24</f>
        <v>1.7310132483210103</v>
      </c>
      <c r="AE57" s="8"/>
      <c r="AF57" s="8"/>
      <c r="AG57" s="9"/>
      <c r="AP57" s="8"/>
      <c r="AQ57" s="8"/>
      <c r="AR57" s="8"/>
      <c r="AS57" s="8"/>
      <c r="AT57" s="8"/>
      <c r="AU57" s="8"/>
      <c r="AV57" s="8"/>
      <c r="AW57" s="8"/>
      <c r="AX57" s="8"/>
    </row>
    <row r="58" spans="1:50" ht="15" x14ac:dyDescent="0.2">
      <c r="A58" s="31"/>
      <c r="B58" s="32"/>
      <c r="C58" s="32"/>
      <c r="AE58" s="8"/>
      <c r="AF58" s="8"/>
      <c r="AG58" s="9"/>
      <c r="AP58" s="8"/>
      <c r="AQ58" s="8"/>
      <c r="AR58" s="8"/>
      <c r="AS58" s="8"/>
      <c r="AT58" s="8"/>
      <c r="AU58" s="8"/>
      <c r="AV58" s="8"/>
      <c r="AW58" s="8"/>
      <c r="AX58" s="8"/>
    </row>
    <row r="59" spans="1:50" ht="15" x14ac:dyDescent="0.2">
      <c r="A59" s="31">
        <v>80000</v>
      </c>
      <c r="B59" s="32"/>
      <c r="C59" s="32">
        <f>A59*$C$57</f>
        <v>138481.05986568081</v>
      </c>
      <c r="D59" s="138">
        <f t="shared" ref="D59:D60" si="1">ROUND(C59,0)</f>
        <v>138481</v>
      </c>
      <c r="AE59" s="8"/>
      <c r="AF59" s="8"/>
      <c r="AG59" s="9"/>
      <c r="AP59" s="8"/>
      <c r="AQ59" s="8"/>
      <c r="AR59" s="8"/>
      <c r="AS59" s="8"/>
      <c r="AT59" s="8"/>
      <c r="AU59" s="8"/>
      <c r="AV59" s="8"/>
      <c r="AW59" s="8"/>
      <c r="AX59" s="8"/>
    </row>
    <row r="60" spans="1:50" ht="15" x14ac:dyDescent="0.2">
      <c r="A60" s="31">
        <v>40000</v>
      </c>
      <c r="B60" s="32"/>
      <c r="C60" s="32">
        <f t="shared" ref="C60:C64" si="2">A60*$C$57</f>
        <v>69240.529932840407</v>
      </c>
      <c r="D60" s="138">
        <f t="shared" si="1"/>
        <v>69241</v>
      </c>
      <c r="AE60" s="8"/>
      <c r="AF60" s="8"/>
      <c r="AG60" s="9"/>
      <c r="AP60" s="8"/>
      <c r="AQ60" s="8"/>
      <c r="AR60" s="8"/>
      <c r="AS60" s="8"/>
      <c r="AT60" s="8"/>
      <c r="AU60" s="8"/>
      <c r="AV60" s="8"/>
      <c r="AW60" s="8"/>
      <c r="AX60" s="8"/>
    </row>
    <row r="61" spans="1:50" ht="15" x14ac:dyDescent="0.2">
      <c r="A61" s="31">
        <v>35000</v>
      </c>
      <c r="B61" s="32"/>
      <c r="C61" s="32">
        <f t="shared" si="2"/>
        <v>60585.46369123536</v>
      </c>
      <c r="D61" s="138">
        <f>ROUND(C61,0)</f>
        <v>60585</v>
      </c>
      <c r="AE61" s="8"/>
      <c r="AF61" s="8"/>
      <c r="AG61" s="9"/>
      <c r="AP61" s="8"/>
      <c r="AQ61" s="8"/>
      <c r="AR61" s="8"/>
      <c r="AS61" s="8"/>
      <c r="AT61" s="8"/>
      <c r="AU61" s="8"/>
      <c r="AV61" s="8"/>
      <c r="AW61" s="8"/>
      <c r="AX61" s="8"/>
    </row>
    <row r="62" spans="1:50" ht="15" x14ac:dyDescent="0.2">
      <c r="A62" s="31">
        <v>100000</v>
      </c>
      <c r="B62" s="32"/>
      <c r="C62" s="32">
        <f t="shared" si="2"/>
        <v>173101.32483210103</v>
      </c>
      <c r="D62" s="138">
        <f>ROUND(C62,0)</f>
        <v>173101</v>
      </c>
      <c r="AE62" s="8"/>
      <c r="AF62" s="8"/>
      <c r="AG62" s="9"/>
      <c r="AP62" s="8"/>
      <c r="AQ62" s="8"/>
      <c r="AR62" s="8"/>
      <c r="AS62" s="8"/>
      <c r="AT62" s="8"/>
      <c r="AU62" s="8"/>
      <c r="AV62" s="8"/>
      <c r="AW62" s="8"/>
      <c r="AX62" s="8"/>
    </row>
    <row r="63" spans="1:50" ht="15" x14ac:dyDescent="0.2">
      <c r="A63" s="31">
        <v>200000</v>
      </c>
      <c r="B63" s="32"/>
      <c r="C63" s="32">
        <f t="shared" si="2"/>
        <v>346202.64966420206</v>
      </c>
      <c r="D63" s="138">
        <f t="shared" ref="D63:D64" si="3">ROUND(C63,0)</f>
        <v>346203</v>
      </c>
      <c r="AE63" s="8"/>
      <c r="AF63" s="8"/>
      <c r="AG63" s="9"/>
      <c r="AP63" s="8"/>
      <c r="AQ63" s="8"/>
      <c r="AR63" s="8"/>
      <c r="AS63" s="8"/>
      <c r="AT63" s="8"/>
      <c r="AU63" s="8"/>
      <c r="AV63" s="8"/>
      <c r="AW63" s="8"/>
      <c r="AX63" s="8"/>
    </row>
    <row r="64" spans="1:50" ht="15" x14ac:dyDescent="0.2">
      <c r="A64" s="31">
        <v>10000</v>
      </c>
      <c r="B64" s="32"/>
      <c r="C64" s="32">
        <f t="shared" si="2"/>
        <v>17310.132483210102</v>
      </c>
      <c r="D64" s="138">
        <f t="shared" si="3"/>
        <v>17310</v>
      </c>
      <c r="AE64" s="8"/>
      <c r="AF64" s="8"/>
      <c r="AG64" s="9"/>
      <c r="AP64" s="8"/>
      <c r="AQ64" s="8"/>
      <c r="AR64" s="8"/>
      <c r="AS64" s="8"/>
      <c r="AT64" s="8"/>
      <c r="AU64" s="8"/>
      <c r="AV64" s="8"/>
      <c r="AW64" s="8"/>
      <c r="AX64" s="8"/>
    </row>
    <row r="65" spans="1:50" ht="15" x14ac:dyDescent="0.2">
      <c r="A65" s="33"/>
      <c r="B65" s="22"/>
      <c r="C65" s="22"/>
      <c r="AE65" s="8"/>
      <c r="AF65" s="8"/>
      <c r="AG65" s="9"/>
      <c r="AP65" s="8"/>
      <c r="AQ65" s="8"/>
      <c r="AR65" s="8"/>
      <c r="AS65" s="8"/>
      <c r="AT65" s="8"/>
      <c r="AU65" s="8"/>
      <c r="AV65" s="8"/>
      <c r="AW65" s="8"/>
      <c r="AX65" s="8"/>
    </row>
    <row r="66" spans="1:50" x14ac:dyDescent="0.25">
      <c r="A66" s="3"/>
      <c r="B66" s="26"/>
      <c r="C66" s="33"/>
      <c r="D66" s="22"/>
      <c r="E66" s="22"/>
      <c r="AE66" s="8"/>
      <c r="AF66" s="26"/>
      <c r="AG66" s="9"/>
      <c r="AP66" s="8"/>
      <c r="AQ66" s="8"/>
      <c r="AR66" s="8"/>
      <c r="AS66" s="8"/>
      <c r="AT66" s="8"/>
      <c r="AU66" s="8"/>
      <c r="AV66" s="8"/>
      <c r="AW66" s="8"/>
      <c r="AX66" s="8"/>
    </row>
    <row r="67" spans="1:50" s="2" customFormat="1" x14ac:dyDescent="0.25">
      <c r="A67" s="1" t="s">
        <v>22</v>
      </c>
      <c r="B67" s="34"/>
      <c r="AE67" s="15"/>
      <c r="AF67" s="35"/>
      <c r="AG67" s="17"/>
      <c r="AP67" s="15"/>
      <c r="AQ67" s="15"/>
      <c r="AR67" s="15"/>
      <c r="AS67" s="15"/>
      <c r="AT67" s="15"/>
      <c r="AU67" s="15"/>
      <c r="AV67" s="15"/>
      <c r="AW67" s="15"/>
      <c r="AX67" s="15"/>
    </row>
    <row r="68" spans="1:50" x14ac:dyDescent="0.25">
      <c r="B68" s="6"/>
      <c r="AE68" s="8"/>
      <c r="AF68" s="26"/>
      <c r="AG68" s="6"/>
      <c r="AJ68" s="3"/>
      <c r="AP68" s="8"/>
      <c r="AQ68" s="8"/>
      <c r="AR68" s="8"/>
      <c r="AS68" s="8"/>
      <c r="AT68" s="8"/>
      <c r="AU68" s="8"/>
      <c r="AV68" s="8"/>
      <c r="AW68" s="8"/>
      <c r="AX68" s="8"/>
    </row>
    <row r="69" spans="1:50" x14ac:dyDescent="0.25">
      <c r="B69" s="1" t="s">
        <v>23</v>
      </c>
      <c r="C69" s="25"/>
      <c r="D69" s="25"/>
      <c r="E69" s="25"/>
      <c r="F69" s="25"/>
      <c r="G69" s="25"/>
      <c r="H69" s="25"/>
      <c r="I69" s="25"/>
      <c r="J69" s="25"/>
      <c r="K69" s="25"/>
      <c r="L69" s="25"/>
      <c r="M69" s="25"/>
      <c r="N69" s="25"/>
      <c r="AE69" s="8"/>
      <c r="AF69" s="26"/>
      <c r="AG69" s="6"/>
      <c r="AJ69" s="3"/>
    </row>
    <row r="70" spans="1:50" x14ac:dyDescent="0.25">
      <c r="A70" s="3" t="s">
        <v>24</v>
      </c>
      <c r="B70" s="25">
        <v>0</v>
      </c>
      <c r="C70" s="25">
        <v>5</v>
      </c>
      <c r="D70" s="25">
        <v>10</v>
      </c>
      <c r="E70" s="25">
        <v>15</v>
      </c>
      <c r="F70" s="25">
        <v>20</v>
      </c>
      <c r="G70" s="25">
        <v>25</v>
      </c>
      <c r="H70" s="25">
        <v>30</v>
      </c>
      <c r="I70" s="25">
        <v>40</v>
      </c>
      <c r="J70" s="25">
        <v>50</v>
      </c>
      <c r="K70" s="25"/>
      <c r="L70" s="25"/>
      <c r="M70" s="25"/>
      <c r="N70" s="25"/>
      <c r="AE70" s="8"/>
      <c r="AF70" s="26"/>
      <c r="AG70" s="6"/>
      <c r="AQ70" s="8"/>
    </row>
    <row r="71" spans="1:50" x14ac:dyDescent="0.25">
      <c r="A71" s="3" t="s">
        <v>25</v>
      </c>
      <c r="B71" s="36">
        <f>E39*1000</f>
        <v>6101821.7003315613</v>
      </c>
      <c r="C71" s="165">
        <f>VLOOKUP(C6,$A$25:$D$31,4,FALSE)*C$70+$B71</f>
        <v>9174370.216101354</v>
      </c>
      <c r="D71" s="165">
        <f>VLOOKUP(D6,$A$25:$D$31,4,FALSE)*D$70+$B71</f>
        <v>12246918.731871147</v>
      </c>
      <c r="E71" s="165">
        <f>VLOOKUP(E6,$A$25:$D$31,4,FALSE)*E$70+$B71</f>
        <v>15319467.247640941</v>
      </c>
      <c r="F71" s="165">
        <f>VLOOKUP(F6,$A$25:$D$31,4,FALSE)*F$70+$B71</f>
        <v>18392015.763410732</v>
      </c>
      <c r="G71" s="165">
        <f>VLOOKUP(G6,$A$25:$D$31,4,FALSE)*G$70+$C$62+$B71</f>
        <v>24190910.145286117</v>
      </c>
      <c r="H71" s="165">
        <f>VLOOKUP(H6,$A$25:$D$31,4,FALSE)*H$70+$C$62+$B71</f>
        <v>27774107.569310609</v>
      </c>
      <c r="I71" s="165">
        <f>VLOOKUP(I6,$A$25:$D$31,4,FALSE)*I$70+$C$62+$B71</f>
        <v>34940502.417359591</v>
      </c>
      <c r="J71" s="165">
        <f>VLOOKUP(J6,$A$25:$D$31,4,FALSE)*J$70+$C$63+$B71</f>
        <v>42279998.590240672</v>
      </c>
      <c r="K71" s="36"/>
      <c r="L71" s="36"/>
      <c r="M71" s="36"/>
      <c r="N71" s="36"/>
      <c r="AE71" s="8"/>
      <c r="AF71" s="26"/>
      <c r="AG71" s="6"/>
    </row>
    <row r="72" spans="1:50" x14ac:dyDescent="0.25">
      <c r="A72" s="3" t="s">
        <v>26</v>
      </c>
      <c r="B72" s="36">
        <f>E40*1000</f>
        <v>5418071.467244762</v>
      </c>
      <c r="C72" s="165">
        <f t="shared" ref="C72:F72" si="4">VLOOKUP(C7,$A$25:$D$31,4,FALSE)*C$70+$B72</f>
        <v>7484468.5324279685</v>
      </c>
      <c r="D72" s="165">
        <f t="shared" si="4"/>
        <v>11563168.498784348</v>
      </c>
      <c r="E72" s="165">
        <f t="shared" si="4"/>
        <v>14635717.014554143</v>
      </c>
      <c r="F72" s="165">
        <f t="shared" si="4"/>
        <v>17708265.530323934</v>
      </c>
      <c r="G72" s="165">
        <f t="shared" ref="G72:I72" si="5">VLOOKUP(G7,$A$25:$D$31,4,FALSE)*G$70+$C$62+$B72</f>
        <v>20953915.370925829</v>
      </c>
      <c r="H72" s="165">
        <f t="shared" si="5"/>
        <v>24026463.886695623</v>
      </c>
      <c r="I72" s="165">
        <f t="shared" si="5"/>
        <v>34256752.184272796</v>
      </c>
      <c r="J72" s="165">
        <f t="shared" ref="J72:J84" si="6">VLOOKUP(J7,$A$25:$D$31,4,FALSE)*J$70+$C$63+$B72</f>
        <v>41596248.35715387</v>
      </c>
      <c r="K72" s="36"/>
      <c r="L72" s="36"/>
      <c r="M72" s="36"/>
      <c r="N72" s="36"/>
      <c r="Q72" s="36"/>
      <c r="R72" s="36"/>
      <c r="S72" s="36"/>
      <c r="T72" s="36"/>
      <c r="AE72" s="8"/>
      <c r="AF72" s="26"/>
      <c r="AG72" s="6"/>
    </row>
    <row r="73" spans="1:50" x14ac:dyDescent="0.25">
      <c r="A73" s="3" t="s">
        <v>27</v>
      </c>
      <c r="B73" s="36">
        <f>E41*1000</f>
        <v>5071868.8175805602</v>
      </c>
      <c r="C73" s="165">
        <f t="shared" ref="C73:F73" si="7">VLOOKUP(C8,$A$25:$D$31,4,FALSE)*C$70+$B73</f>
        <v>7138265.8827637658</v>
      </c>
      <c r="D73" s="165">
        <f t="shared" si="7"/>
        <v>9204662.9479469731</v>
      </c>
      <c r="E73" s="165">
        <f t="shared" si="7"/>
        <v>14289514.36488994</v>
      </c>
      <c r="F73" s="165">
        <f t="shared" si="7"/>
        <v>17362062.880659733</v>
      </c>
      <c r="G73" s="165">
        <f t="shared" ref="G73:I73" si="8">VLOOKUP(G8,$A$25:$D$31,4,FALSE)*G$70+$C$62+$B73</f>
        <v>20607712.721261628</v>
      </c>
      <c r="H73" s="165">
        <f t="shared" si="8"/>
        <v>23680261.237031423</v>
      </c>
      <c r="I73" s="165">
        <f t="shared" si="8"/>
        <v>29825358.268571004</v>
      </c>
      <c r="J73" s="165">
        <f t="shared" si="6"/>
        <v>41250045.707489669</v>
      </c>
      <c r="K73" s="36"/>
      <c r="L73" s="36"/>
      <c r="M73" s="36"/>
      <c r="N73" s="36"/>
      <c r="S73" s="36"/>
      <c r="T73" s="36"/>
      <c r="AE73" s="9"/>
      <c r="AF73" s="9"/>
      <c r="AG73" s="6"/>
    </row>
    <row r="74" spans="1:50" x14ac:dyDescent="0.25">
      <c r="A74" s="3" t="s">
        <v>28</v>
      </c>
      <c r="B74" s="36">
        <f>E42*1000</f>
        <v>4552564.8430842571</v>
      </c>
      <c r="C74" s="165">
        <f t="shared" ref="C74:F74" si="9">VLOOKUP(C9,$A$25:$D$31,4,FALSE)*C$70+$B74</f>
        <v>6618961.9082674626</v>
      </c>
      <c r="D74" s="165">
        <f t="shared" si="9"/>
        <v>8685358.9734506682</v>
      </c>
      <c r="E74" s="165">
        <f t="shared" si="9"/>
        <v>10751756.038633876</v>
      </c>
      <c r="F74" s="165">
        <f t="shared" si="9"/>
        <v>12818153.103817081</v>
      </c>
      <c r="G74" s="165">
        <f t="shared" ref="G74:I74" si="10">VLOOKUP(G9,$A$25:$D$31,4,FALSE)*G$70+$C$62+$B74</f>
        <v>20088408.746765323</v>
      </c>
      <c r="H74" s="165">
        <f t="shared" si="10"/>
        <v>23160957.262535118</v>
      </c>
      <c r="I74" s="165">
        <f t="shared" si="10"/>
        <v>29306054.294074703</v>
      </c>
      <c r="J74" s="165">
        <f t="shared" si="6"/>
        <v>35624252.650446393</v>
      </c>
      <c r="K74" s="36"/>
      <c r="L74" s="36"/>
      <c r="M74" s="36"/>
      <c r="N74" s="36"/>
    </row>
    <row r="75" spans="1:50" x14ac:dyDescent="0.25">
      <c r="A75" s="3" t="s">
        <v>29</v>
      </c>
      <c r="B75" s="36">
        <f>E43*1000</f>
        <v>4552564.8430842571</v>
      </c>
      <c r="C75" s="165">
        <f t="shared" ref="C75:F75" si="11">VLOOKUP(C10,$A$25:$D$31,4,FALSE)*C$70+$B75</f>
        <v>6618961.9082674626</v>
      </c>
      <c r="D75" s="165">
        <f t="shared" si="11"/>
        <v>8685358.9734506682</v>
      </c>
      <c r="E75" s="165">
        <f t="shared" si="11"/>
        <v>10751756.038633876</v>
      </c>
      <c r="F75" s="165">
        <f t="shared" si="11"/>
        <v>12818153.103817081</v>
      </c>
      <c r="G75" s="165">
        <f t="shared" ref="G75:I75" si="12">VLOOKUP(G10,$A$25:$D$31,4,FALSE)*G$70+$C$62+$B75</f>
        <v>15057651.493832387</v>
      </c>
      <c r="H75" s="165">
        <f t="shared" si="12"/>
        <v>17124048.559015594</v>
      </c>
      <c r="I75" s="165">
        <f t="shared" si="12"/>
        <v>29306054.294074703</v>
      </c>
      <c r="J75" s="165">
        <f t="shared" si="6"/>
        <v>35624252.650446393</v>
      </c>
      <c r="K75" s="36"/>
      <c r="L75" s="36"/>
      <c r="M75" s="36"/>
      <c r="N75" s="36"/>
      <c r="AQ75" s="8"/>
    </row>
    <row r="76" spans="1:50" x14ac:dyDescent="0.25">
      <c r="A76" s="3" t="s">
        <v>30</v>
      </c>
      <c r="B76" s="36">
        <f>E44*1000</f>
        <v>3938055.1399302986</v>
      </c>
      <c r="C76" s="165">
        <f t="shared" ref="C76:F76" si="13">VLOOKUP(C11,$A$25:$D$31,4,FALSE)*C$70+$B76</f>
        <v>5690706.0538553214</v>
      </c>
      <c r="D76" s="165">
        <f t="shared" si="13"/>
        <v>8070849.2702967105</v>
      </c>
      <c r="E76" s="165">
        <f t="shared" si="13"/>
        <v>10137246.335479917</v>
      </c>
      <c r="F76" s="165">
        <f t="shared" si="13"/>
        <v>12203643.400663123</v>
      </c>
      <c r="G76" s="165">
        <f t="shared" ref="G76:I76" si="14">VLOOKUP(G11,$A$25:$D$31,4,FALSE)*G$70+$C$62+$B76</f>
        <v>14443141.790678428</v>
      </c>
      <c r="H76" s="165">
        <f t="shared" si="14"/>
        <v>16509538.855861636</v>
      </c>
      <c r="I76" s="165">
        <f t="shared" si="14"/>
        <v>20642332.986228049</v>
      </c>
      <c r="J76" s="165">
        <f t="shared" si="6"/>
        <v>35009742.947292432</v>
      </c>
      <c r="K76" s="36"/>
      <c r="L76" s="36"/>
      <c r="M76" s="36"/>
      <c r="N76" s="36"/>
      <c r="AE76" s="3"/>
      <c r="AF76" s="6"/>
    </row>
    <row r="77" spans="1:50" x14ac:dyDescent="0.25">
      <c r="A77" s="3" t="s">
        <v>31</v>
      </c>
      <c r="B77" s="36">
        <f>E45*1000</f>
        <v>3358165.7017427599</v>
      </c>
      <c r="C77" s="165">
        <f t="shared" ref="C77:F77" si="15">VLOOKUP(C12,$A$25:$D$31,4,FALSE)*C$70+$B77</f>
        <v>5110816.6156677827</v>
      </c>
      <c r="D77" s="165">
        <f t="shared" si="15"/>
        <v>6863467.5295928065</v>
      </c>
      <c r="E77" s="165">
        <f t="shared" si="15"/>
        <v>8616118.4435178302</v>
      </c>
      <c r="F77" s="165">
        <f t="shared" si="15"/>
        <v>11623753.962475583</v>
      </c>
      <c r="G77" s="165">
        <f t="shared" ref="G77:I77" si="16">VLOOKUP(G12,$A$25:$D$31,4,FALSE)*G$70+$C$62+$B77</f>
        <v>13863252.352490891</v>
      </c>
      <c r="H77" s="165">
        <f t="shared" si="16"/>
        <v>15929649.417674098</v>
      </c>
      <c r="I77" s="165">
        <f t="shared" si="16"/>
        <v>20062443.548040509</v>
      </c>
      <c r="J77" s="165">
        <f t="shared" si="6"/>
        <v>24368339.003239021</v>
      </c>
      <c r="K77" s="36"/>
      <c r="L77" s="36"/>
      <c r="M77" s="36"/>
      <c r="N77" s="36"/>
      <c r="T77" s="3"/>
      <c r="AF77" s="6"/>
      <c r="AO77" s="36"/>
    </row>
    <row r="78" spans="1:50" x14ac:dyDescent="0.25">
      <c r="A78" s="3" t="s">
        <v>32</v>
      </c>
      <c r="B78" s="36">
        <f>E46*1000</f>
        <v>3297580.2380515249</v>
      </c>
      <c r="C78" s="165">
        <f t="shared" ref="C78:F78" si="17">VLOOKUP(C13,$A$25:$D$31,4,FALSE)*C$70+$B78</f>
        <v>4920405.1583524719</v>
      </c>
      <c r="D78" s="165">
        <f t="shared" si="17"/>
        <v>6543230.0786534194</v>
      </c>
      <c r="E78" s="165">
        <f t="shared" si="17"/>
        <v>8555532.9798265938</v>
      </c>
      <c r="F78" s="165">
        <f t="shared" si="17"/>
        <v>10308183.893751618</v>
      </c>
      <c r="G78" s="165">
        <f t="shared" ref="G78:I78" si="18">VLOOKUP(G13,$A$25:$D$31,4,FALSE)*G$70+$C$62+$B78</f>
        <v>12233936.13250874</v>
      </c>
      <c r="H78" s="165">
        <f t="shared" si="18"/>
        <v>13986587.046433764</v>
      </c>
      <c r="I78" s="165">
        <f t="shared" si="18"/>
        <v>17491888.874283809</v>
      </c>
      <c r="J78" s="165">
        <f t="shared" si="6"/>
        <v>24307753.539547786</v>
      </c>
      <c r="K78" s="36"/>
      <c r="L78" s="36"/>
      <c r="M78" s="36"/>
      <c r="N78" s="36"/>
      <c r="AO78" s="36"/>
    </row>
    <row r="79" spans="1:50" x14ac:dyDescent="0.25">
      <c r="A79" s="3" t="s">
        <v>33</v>
      </c>
      <c r="B79" s="36">
        <f>E47*1000</f>
        <v>2605174.9387231208</v>
      </c>
      <c r="C79" s="165">
        <f t="shared" ref="C79:F79" si="19">VLOOKUP(C14,$A$25:$D$31,4,FALSE)*C$70+$B79</f>
        <v>3903434.8749638787</v>
      </c>
      <c r="D79" s="165">
        <f t="shared" si="19"/>
        <v>5850824.7793250158</v>
      </c>
      <c r="E79" s="165">
        <f t="shared" si="19"/>
        <v>7473649.6996259624</v>
      </c>
      <c r="F79" s="165">
        <f t="shared" si="19"/>
        <v>9096474.6199269108</v>
      </c>
      <c r="G79" s="165">
        <f t="shared" ref="G79:I79" si="20">VLOOKUP(G14,$A$25:$D$31,4,FALSE)*G$70+$C$62+$B79</f>
        <v>10892400.865059959</v>
      </c>
      <c r="H79" s="165">
        <f t="shared" si="20"/>
        <v>12515225.785360904</v>
      </c>
      <c r="I79" s="165">
        <f t="shared" si="20"/>
        <v>15760875.625962799</v>
      </c>
      <c r="J79" s="165">
        <f t="shared" si="6"/>
        <v>20477886.727637552</v>
      </c>
      <c r="K79" s="36"/>
      <c r="L79" s="36"/>
      <c r="M79" s="36"/>
      <c r="N79" s="36"/>
      <c r="AO79" s="36"/>
    </row>
    <row r="80" spans="1:50" x14ac:dyDescent="0.25">
      <c r="A80" s="3" t="s">
        <v>34</v>
      </c>
      <c r="B80" s="36">
        <f>E48*1000</f>
        <v>1895459.5069115064</v>
      </c>
      <c r="C80" s="165">
        <f t="shared" ref="C80:F80" si="21">VLOOKUP(C15,$A$25:$D$31,4,FALSE)*C$70+$B80</f>
        <v>3193719.4431522642</v>
      </c>
      <c r="D80" s="165">
        <f t="shared" si="21"/>
        <v>5141109.3475134009</v>
      </c>
      <c r="E80" s="165">
        <f t="shared" si="21"/>
        <v>6763934.2678143475</v>
      </c>
      <c r="F80" s="165">
        <f t="shared" si="21"/>
        <v>8386759.188115295</v>
      </c>
      <c r="G80" s="165">
        <f t="shared" ref="G80:I80" si="22">VLOOKUP(G15,$A$25:$D$31,4,FALSE)*G$70+$C$62+$B80</f>
        <v>10182685.433248345</v>
      </c>
      <c r="H80" s="165">
        <f t="shared" si="22"/>
        <v>11805510.35354929</v>
      </c>
      <c r="I80" s="165">
        <f t="shared" si="22"/>
        <v>15051160.194151185</v>
      </c>
      <c r="J80" s="165">
        <f t="shared" si="6"/>
        <v>19768171.295825936</v>
      </c>
      <c r="K80" s="36"/>
      <c r="L80" s="36"/>
      <c r="M80" s="36"/>
      <c r="N80" s="36"/>
      <c r="AE80" s="8"/>
      <c r="AF80" s="8"/>
      <c r="AG80" s="8"/>
      <c r="AH80" s="8"/>
      <c r="AI80" s="8"/>
      <c r="AJ80" s="8"/>
      <c r="AK80" s="8"/>
      <c r="AL80" s="8"/>
      <c r="AM80" s="8"/>
      <c r="AN80" s="8"/>
      <c r="AO80" s="36"/>
    </row>
    <row r="81" spans="1:41" x14ac:dyDescent="0.25">
      <c r="A81" s="3" t="s">
        <v>35</v>
      </c>
      <c r="B81" s="36">
        <f>E49*1000</f>
        <v>1895459.5069115064</v>
      </c>
      <c r="C81" s="165">
        <f t="shared" ref="C81:F81" si="23">VLOOKUP(C16,$A$25:$D$31,4,FALSE)*C$70+$B81</f>
        <v>3193719.4431522642</v>
      </c>
      <c r="D81" s="165">
        <f t="shared" si="23"/>
        <v>4491979.3793930225</v>
      </c>
      <c r="E81" s="165">
        <f t="shared" si="23"/>
        <v>5790239.3156337794</v>
      </c>
      <c r="F81" s="165">
        <f t="shared" si="23"/>
        <v>8386759.188115295</v>
      </c>
      <c r="G81" s="165">
        <f t="shared" ref="G81:I81" si="24">VLOOKUP(G16,$A$25:$D$31,4,FALSE)*G$70+$C$62+$B81</f>
        <v>10182685.433248345</v>
      </c>
      <c r="H81" s="165">
        <f t="shared" si="24"/>
        <v>11805510.35354929</v>
      </c>
      <c r="I81" s="165">
        <f t="shared" si="24"/>
        <v>15051160.194151185</v>
      </c>
      <c r="J81" s="165">
        <f t="shared" si="6"/>
        <v>18469911.359585181</v>
      </c>
      <c r="K81" s="36"/>
      <c r="L81" s="36"/>
      <c r="M81" s="36"/>
      <c r="N81" s="36"/>
      <c r="AE81" s="3"/>
      <c r="AF81" s="8"/>
      <c r="AG81" s="8"/>
      <c r="AH81" s="8"/>
      <c r="AI81" s="8"/>
      <c r="AJ81" s="8"/>
      <c r="AK81" s="8"/>
      <c r="AL81" s="8"/>
      <c r="AM81" s="8"/>
      <c r="AN81" s="8"/>
      <c r="AO81" s="36"/>
    </row>
    <row r="82" spans="1:41" x14ac:dyDescent="0.25">
      <c r="A82" s="3" t="s">
        <v>36</v>
      </c>
      <c r="B82" s="36">
        <f>E50*1000</f>
        <v>1583877.1222137245</v>
      </c>
      <c r="C82" s="165">
        <f t="shared" ref="C82:F82" si="25">VLOOKUP(C17,$A$25:$D$31,4,FALSE)*C$70+$B82</f>
        <v>2882137.0584544824</v>
      </c>
      <c r="D82" s="165">
        <f t="shared" si="25"/>
        <v>4180396.9946952402</v>
      </c>
      <c r="E82" s="165">
        <f t="shared" si="25"/>
        <v>5478656.9309359975</v>
      </c>
      <c r="F82" s="165">
        <f t="shared" si="25"/>
        <v>6776916.8671767563</v>
      </c>
      <c r="G82" s="165">
        <f t="shared" ref="G82:I82" si="26">VLOOKUP(G17,$A$25:$D$31,4,FALSE)*G$70+$C$62+$B82</f>
        <v>8248278.1282496154</v>
      </c>
      <c r="H82" s="165">
        <f t="shared" si="26"/>
        <v>9546538.0644903723</v>
      </c>
      <c r="I82" s="165">
        <f t="shared" si="26"/>
        <v>14739577.809453404</v>
      </c>
      <c r="J82" s="165">
        <f t="shared" si="6"/>
        <v>18158328.974887401</v>
      </c>
      <c r="K82" s="36"/>
      <c r="L82" s="36"/>
      <c r="M82" s="36"/>
      <c r="N82" s="36"/>
      <c r="AE82" s="8"/>
      <c r="AF82" s="36"/>
      <c r="AG82" s="36"/>
      <c r="AH82" s="36"/>
      <c r="AI82" s="36"/>
      <c r="AJ82" s="36"/>
      <c r="AK82" s="36"/>
      <c r="AL82" s="36"/>
      <c r="AM82" s="36"/>
      <c r="AN82" s="36"/>
      <c r="AO82" s="36"/>
    </row>
    <row r="83" spans="1:41" x14ac:dyDescent="0.25">
      <c r="A83" s="3" t="s">
        <v>37</v>
      </c>
      <c r="B83" s="36">
        <f>E51*1000</f>
        <v>1583877.1222137245</v>
      </c>
      <c r="C83" s="165">
        <f t="shared" ref="C83:F83" si="27">VLOOKUP(C18,$A$25:$D$31,4,FALSE)*C$70+$B83</f>
        <v>2665760.4024143559</v>
      </c>
      <c r="D83" s="165">
        <f t="shared" si="27"/>
        <v>4180396.9946952402</v>
      </c>
      <c r="E83" s="165">
        <f t="shared" si="27"/>
        <v>5478656.9309359975</v>
      </c>
      <c r="F83" s="165">
        <f t="shared" si="27"/>
        <v>6776916.8671767563</v>
      </c>
      <c r="G83" s="165">
        <f t="shared" ref="G83:I83" si="28">VLOOKUP(G18,$A$25:$D$31,4,FALSE)*G$70+$C$62+$B83</f>
        <v>8248278.1282496154</v>
      </c>
      <c r="H83" s="165">
        <f t="shared" si="28"/>
        <v>9546538.0644903723</v>
      </c>
      <c r="I83" s="165">
        <f t="shared" si="28"/>
        <v>12143057.936971888</v>
      </c>
      <c r="J83" s="165">
        <f t="shared" si="6"/>
        <v>18158328.974887401</v>
      </c>
      <c r="K83" s="36"/>
      <c r="L83" s="36"/>
      <c r="M83" s="36"/>
      <c r="N83" s="36"/>
      <c r="AE83" s="8"/>
      <c r="AF83" s="36"/>
      <c r="AG83" s="36"/>
      <c r="AH83" s="36"/>
      <c r="AI83" s="36"/>
      <c r="AJ83" s="36"/>
      <c r="AK83" s="36"/>
      <c r="AL83" s="36"/>
      <c r="AM83" s="36"/>
      <c r="AN83" s="36"/>
      <c r="AO83" s="36"/>
    </row>
    <row r="84" spans="1:41" x14ac:dyDescent="0.25">
      <c r="A84" s="3" t="s">
        <v>38</v>
      </c>
      <c r="B84" s="36">
        <f>E52*1000</f>
        <v>1332880.2012071779</v>
      </c>
      <c r="C84" s="165">
        <f t="shared" ref="C84:F84" si="29">VLOOKUP(C19,$A$25:$D$31,4,FALSE)*C$70+$B84</f>
        <v>2414763.4814078091</v>
      </c>
      <c r="D84" s="165">
        <f t="shared" si="29"/>
        <v>3929400.0736886933</v>
      </c>
      <c r="E84" s="165">
        <f t="shared" si="29"/>
        <v>5227660.0099294512</v>
      </c>
      <c r="F84" s="165">
        <f t="shared" si="29"/>
        <v>6525919.946170209</v>
      </c>
      <c r="G84" s="165">
        <f t="shared" ref="G84:I84" si="30">VLOOKUP(G19,$A$25:$D$31,4,FALSE)*G$70+$C$62+$B84</f>
        <v>7997281.2072430681</v>
      </c>
      <c r="H84" s="165">
        <f t="shared" si="30"/>
        <v>9295541.1434838269</v>
      </c>
      <c r="I84" s="165">
        <f t="shared" si="30"/>
        <v>11892061.015965341</v>
      </c>
      <c r="J84" s="165">
        <f t="shared" si="6"/>
        <v>14661682.213278959</v>
      </c>
      <c r="K84" s="36"/>
      <c r="L84" s="36"/>
      <c r="M84" s="36"/>
      <c r="N84" s="36"/>
      <c r="AE84" s="8"/>
      <c r="AF84" s="36"/>
      <c r="AG84" s="36"/>
      <c r="AH84" s="36"/>
      <c r="AI84" s="36"/>
      <c r="AJ84" s="36"/>
      <c r="AK84" s="36"/>
      <c r="AL84" s="36"/>
      <c r="AM84" s="36"/>
      <c r="AN84" s="36"/>
      <c r="AO84" s="36"/>
    </row>
    <row r="85" spans="1:41" x14ac:dyDescent="0.25">
      <c r="A85" s="3"/>
      <c r="B85" s="36"/>
      <c r="C85" s="36"/>
      <c r="D85" s="36"/>
      <c r="E85" s="36"/>
      <c r="F85" s="36"/>
      <c r="G85" s="36"/>
      <c r="H85" s="36"/>
      <c r="I85" s="36"/>
      <c r="J85" s="37"/>
      <c r="K85" s="36"/>
      <c r="L85" s="36"/>
      <c r="M85" s="36"/>
      <c r="N85" s="36"/>
      <c r="AE85" s="8"/>
      <c r="AF85" s="36"/>
      <c r="AG85" s="36"/>
      <c r="AH85" s="36"/>
      <c r="AI85" s="36"/>
      <c r="AJ85" s="36"/>
      <c r="AK85" s="36"/>
      <c r="AL85" s="36"/>
      <c r="AM85" s="36"/>
      <c r="AN85" s="36"/>
      <c r="AO85" s="36"/>
    </row>
    <row r="86" spans="1:41" x14ac:dyDescent="0.25">
      <c r="A86" s="1" t="s">
        <v>641</v>
      </c>
      <c r="B86" s="36"/>
      <c r="C86" s="36"/>
      <c r="D86" s="36"/>
      <c r="E86" s="36"/>
      <c r="F86" s="36"/>
      <c r="G86" s="36"/>
      <c r="H86" s="36"/>
      <c r="I86" s="36"/>
      <c r="J86" s="36"/>
      <c r="K86" s="36"/>
      <c r="L86" s="36"/>
      <c r="M86" s="36"/>
      <c r="N86" s="36"/>
      <c r="O86" s="38"/>
      <c r="P86" s="3"/>
      <c r="AE86" s="8"/>
      <c r="AF86" s="36"/>
      <c r="AG86" s="36"/>
      <c r="AH86" s="36"/>
      <c r="AI86" s="36"/>
      <c r="AJ86" s="36"/>
      <c r="AK86" s="36"/>
      <c r="AL86" s="36"/>
      <c r="AM86" s="36"/>
      <c r="AN86" s="36"/>
      <c r="AO86" s="36"/>
    </row>
    <row r="87" spans="1:41" x14ac:dyDescent="0.25">
      <c r="A87" s="3"/>
      <c r="B87" s="36"/>
      <c r="C87" s="36"/>
      <c r="D87" s="36"/>
      <c r="E87" s="36"/>
      <c r="F87" s="36"/>
      <c r="G87" s="36"/>
      <c r="H87" s="36"/>
      <c r="I87" s="36"/>
      <c r="J87" s="36"/>
      <c r="K87" s="36"/>
      <c r="L87" s="36"/>
      <c r="M87" s="36"/>
      <c r="N87" s="36"/>
      <c r="O87" s="38"/>
      <c r="P87" s="3"/>
      <c r="AE87" s="8"/>
      <c r="AF87" s="36"/>
      <c r="AG87" s="36"/>
      <c r="AH87" s="36"/>
      <c r="AI87" s="36"/>
      <c r="AJ87" s="36"/>
      <c r="AK87" s="36"/>
      <c r="AL87" s="36"/>
      <c r="AM87" s="36"/>
      <c r="AN87" s="36"/>
      <c r="AO87" s="36"/>
    </row>
    <row r="88" spans="1:41" x14ac:dyDescent="0.25">
      <c r="A88" s="3"/>
      <c r="B88" s="163">
        <v>1</v>
      </c>
      <c r="C88" s="36"/>
      <c r="D88" s="36"/>
      <c r="E88" s="36"/>
      <c r="F88" s="36"/>
      <c r="G88" s="36"/>
      <c r="H88" s="36"/>
      <c r="I88" s="36"/>
      <c r="J88" s="36"/>
      <c r="K88" s="36"/>
      <c r="L88" s="36"/>
      <c r="M88" s="36"/>
      <c r="N88" s="36"/>
      <c r="O88" s="38"/>
      <c r="P88" s="3"/>
      <c r="AE88" s="8"/>
      <c r="AF88" s="36"/>
      <c r="AG88" s="36"/>
      <c r="AH88" s="36"/>
      <c r="AI88" s="36"/>
      <c r="AJ88" s="36"/>
      <c r="AK88" s="36"/>
      <c r="AL88" s="36"/>
      <c r="AM88" s="36"/>
      <c r="AN88" s="36"/>
      <c r="AO88" s="36"/>
    </row>
    <row r="89" spans="1:41" x14ac:dyDescent="0.25">
      <c r="A89" s="3"/>
      <c r="B89" s="21">
        <f>B88*0.909</f>
        <v>0.90900000000000003</v>
      </c>
      <c r="C89" s="36"/>
      <c r="D89" s="36"/>
      <c r="E89" s="36"/>
      <c r="F89" s="36"/>
      <c r="G89" s="36"/>
      <c r="H89" s="36"/>
      <c r="I89" s="36"/>
      <c r="J89" s="36"/>
      <c r="K89" s="36"/>
      <c r="L89" s="36"/>
      <c r="M89" s="36"/>
      <c r="N89" s="36"/>
      <c r="O89" s="38"/>
      <c r="P89" s="3"/>
      <c r="AE89" s="8"/>
      <c r="AF89" s="36"/>
      <c r="AG89" s="36"/>
      <c r="AH89" s="36"/>
      <c r="AI89" s="36"/>
      <c r="AJ89" s="36"/>
      <c r="AK89" s="36"/>
      <c r="AL89" s="36"/>
      <c r="AM89" s="36"/>
      <c r="AN89" s="36"/>
      <c r="AO89" s="36"/>
    </row>
    <row r="90" spans="1:41" x14ac:dyDescent="0.25">
      <c r="A90" s="3"/>
      <c r="B90" s="21">
        <f t="shared" ref="B90:B97" si="31">B89*0.909</f>
        <v>0.82628100000000004</v>
      </c>
      <c r="C90" s="36"/>
      <c r="D90" s="36"/>
      <c r="E90" s="36"/>
      <c r="F90" s="36"/>
      <c r="G90" s="36"/>
      <c r="H90" s="36"/>
      <c r="I90" s="36"/>
      <c r="J90" s="36"/>
      <c r="K90" s="36"/>
      <c r="L90" s="36"/>
      <c r="M90" s="36"/>
      <c r="N90" s="36"/>
      <c r="O90" s="38"/>
      <c r="P90" s="3"/>
      <c r="AE90" s="8"/>
      <c r="AF90" s="36"/>
      <c r="AG90" s="36"/>
      <c r="AH90" s="36"/>
      <c r="AI90" s="36"/>
      <c r="AJ90" s="36"/>
      <c r="AK90" s="36"/>
      <c r="AL90" s="36"/>
      <c r="AM90" s="36"/>
      <c r="AN90" s="36"/>
      <c r="AO90" s="36"/>
    </row>
    <row r="91" spans="1:41" x14ac:dyDescent="0.25">
      <c r="A91" s="3"/>
      <c r="B91" s="21">
        <f t="shared" si="31"/>
        <v>0.75108942900000009</v>
      </c>
      <c r="C91" s="36"/>
      <c r="D91" s="36"/>
      <c r="E91" s="36"/>
      <c r="F91" s="36"/>
      <c r="G91" s="36"/>
      <c r="H91" s="36"/>
      <c r="I91" s="36"/>
      <c r="J91" s="36"/>
      <c r="K91" s="36"/>
      <c r="L91" s="36"/>
      <c r="M91" s="36"/>
      <c r="N91" s="36"/>
      <c r="O91" s="38"/>
      <c r="P91" s="3"/>
      <c r="AE91" s="8"/>
      <c r="AF91" s="36"/>
      <c r="AG91" s="36"/>
      <c r="AH91" s="36"/>
      <c r="AI91" s="36"/>
      <c r="AJ91" s="36"/>
      <c r="AK91" s="36"/>
      <c r="AL91" s="36"/>
      <c r="AM91" s="36"/>
      <c r="AN91" s="36"/>
      <c r="AO91" s="36"/>
    </row>
    <row r="92" spans="1:41" x14ac:dyDescent="0.25">
      <c r="A92" s="3"/>
      <c r="B92" s="21">
        <f t="shared" si="31"/>
        <v>0.68274029096100008</v>
      </c>
      <c r="C92" s="36"/>
      <c r="D92" s="36"/>
      <c r="E92" s="36"/>
      <c r="F92" s="36"/>
      <c r="G92" s="36"/>
      <c r="H92" s="36"/>
      <c r="I92" s="36"/>
      <c r="J92" s="36"/>
      <c r="K92" s="36"/>
      <c r="L92" s="36"/>
      <c r="M92" s="36"/>
      <c r="N92" s="36"/>
      <c r="O92" s="38"/>
      <c r="P92" s="3"/>
      <c r="AE92" s="8"/>
      <c r="AF92" s="36"/>
      <c r="AG92" s="36"/>
      <c r="AH92" s="36"/>
      <c r="AI92" s="36"/>
      <c r="AJ92" s="36"/>
      <c r="AK92" s="36"/>
      <c r="AL92" s="36"/>
      <c r="AM92" s="36"/>
      <c r="AN92" s="36"/>
      <c r="AO92" s="36"/>
    </row>
    <row r="93" spans="1:41" x14ac:dyDescent="0.25">
      <c r="A93" s="3"/>
      <c r="B93" s="21">
        <f t="shared" si="31"/>
        <v>0.62061092448354904</v>
      </c>
      <c r="C93" s="36"/>
      <c r="D93" s="36"/>
      <c r="E93" s="36"/>
      <c r="F93" s="36"/>
      <c r="G93" s="36"/>
      <c r="H93" s="36"/>
      <c r="I93" s="36"/>
      <c r="J93" s="36"/>
      <c r="K93" s="36"/>
      <c r="L93" s="36"/>
      <c r="M93" s="36"/>
      <c r="N93" s="36"/>
      <c r="O93" s="38"/>
      <c r="P93" s="3"/>
      <c r="AE93" s="8"/>
      <c r="AF93" s="36"/>
      <c r="AG93" s="36"/>
      <c r="AH93" s="36"/>
      <c r="AI93" s="36"/>
      <c r="AJ93" s="36"/>
      <c r="AK93" s="36"/>
      <c r="AL93" s="36"/>
      <c r="AM93" s="36"/>
      <c r="AN93" s="36"/>
      <c r="AO93" s="36"/>
    </row>
    <row r="94" spans="1:41" x14ac:dyDescent="0.25">
      <c r="A94" s="3"/>
      <c r="B94" s="21">
        <f t="shared" si="31"/>
        <v>0.56413533035554608</v>
      </c>
      <c r="C94" s="36"/>
      <c r="D94" s="36"/>
      <c r="E94" s="36"/>
      <c r="F94" s="36"/>
      <c r="G94" s="36"/>
      <c r="H94" s="36"/>
      <c r="I94" s="36"/>
      <c r="J94" s="36"/>
      <c r="K94" s="36"/>
      <c r="L94" s="36"/>
      <c r="M94" s="36"/>
      <c r="N94" s="36"/>
      <c r="O94" s="38"/>
      <c r="P94" s="3"/>
      <c r="AE94" s="8"/>
      <c r="AF94" s="36"/>
      <c r="AG94" s="36"/>
      <c r="AH94" s="36"/>
      <c r="AI94" s="36"/>
      <c r="AJ94" s="36"/>
      <c r="AK94" s="36"/>
      <c r="AL94" s="36"/>
      <c r="AM94" s="36"/>
      <c r="AN94" s="36"/>
      <c r="AO94" s="36"/>
    </row>
    <row r="95" spans="1:41" x14ac:dyDescent="0.25">
      <c r="A95" s="3"/>
      <c r="B95" s="21">
        <f t="shared" si="31"/>
        <v>0.51279901529319138</v>
      </c>
      <c r="C95" s="36"/>
      <c r="D95" s="36"/>
      <c r="E95" s="36"/>
      <c r="F95" s="36"/>
      <c r="G95" s="36"/>
      <c r="H95" s="36"/>
      <c r="I95" s="36"/>
      <c r="J95" s="36"/>
      <c r="K95" s="36"/>
      <c r="L95" s="36"/>
      <c r="M95" s="36"/>
      <c r="N95" s="36"/>
      <c r="O95" s="38"/>
      <c r="P95" s="3"/>
      <c r="AE95" s="8"/>
      <c r="AF95" s="36"/>
      <c r="AG95" s="36"/>
      <c r="AH95" s="36"/>
      <c r="AI95" s="36"/>
      <c r="AJ95" s="36"/>
      <c r="AK95" s="36"/>
      <c r="AL95" s="36"/>
      <c r="AM95" s="36"/>
      <c r="AN95" s="36"/>
      <c r="AO95" s="36"/>
    </row>
    <row r="96" spans="1:41" x14ac:dyDescent="0.25">
      <c r="A96" s="3"/>
      <c r="B96" s="21">
        <f t="shared" si="31"/>
        <v>0.46613430490151098</v>
      </c>
      <c r="C96" s="36"/>
      <c r="D96" s="36"/>
      <c r="E96" s="36"/>
      <c r="F96" s="36"/>
      <c r="G96" s="36"/>
      <c r="H96" s="36"/>
      <c r="I96" s="36"/>
      <c r="J96" s="36"/>
      <c r="K96" s="36"/>
      <c r="L96" s="36"/>
      <c r="M96" s="36"/>
      <c r="N96" s="36"/>
      <c r="O96" s="38"/>
      <c r="P96" s="3"/>
      <c r="AE96" s="8"/>
      <c r="AF96" s="36"/>
      <c r="AG96" s="36"/>
      <c r="AH96" s="36"/>
      <c r="AI96" s="36"/>
      <c r="AJ96" s="36"/>
      <c r="AK96" s="36"/>
      <c r="AL96" s="36"/>
      <c r="AM96" s="36"/>
      <c r="AN96" s="36"/>
      <c r="AO96" s="36"/>
    </row>
    <row r="97" spans="1:41" x14ac:dyDescent="0.25">
      <c r="A97" s="3"/>
      <c r="B97" s="21">
        <f t="shared" si="31"/>
        <v>0.42371608315547349</v>
      </c>
      <c r="C97" s="36"/>
      <c r="D97" s="36"/>
      <c r="E97" s="36"/>
      <c r="F97" s="36"/>
      <c r="G97" s="36"/>
      <c r="H97" s="36"/>
      <c r="I97" s="36"/>
      <c r="J97" s="36"/>
      <c r="K97" s="36"/>
      <c r="L97" s="36"/>
      <c r="M97" s="36"/>
      <c r="N97" s="36"/>
      <c r="O97" s="38"/>
      <c r="P97" s="3"/>
      <c r="AE97" s="8"/>
      <c r="AF97" s="36"/>
      <c r="AG97" s="36"/>
      <c r="AH97" s="36"/>
      <c r="AI97" s="36"/>
      <c r="AJ97" s="36"/>
      <c r="AK97" s="36"/>
      <c r="AL97" s="36"/>
      <c r="AM97" s="36"/>
      <c r="AN97" s="36"/>
      <c r="AO97" s="36"/>
    </row>
    <row r="98" spans="1:41" x14ac:dyDescent="0.25">
      <c r="A98" s="3"/>
      <c r="B98" s="21">
        <f>SUM(B88:B97)</f>
        <v>6.756506378150271</v>
      </c>
      <c r="C98" s="36"/>
      <c r="D98" s="36"/>
      <c r="E98" s="36"/>
      <c r="F98" s="36"/>
      <c r="G98" s="36"/>
      <c r="H98" s="36"/>
      <c r="I98" s="36"/>
      <c r="J98" s="36"/>
      <c r="K98" s="36"/>
      <c r="L98" s="36"/>
      <c r="M98" s="36"/>
      <c r="N98" s="36"/>
      <c r="O98" s="38"/>
      <c r="P98" s="3"/>
      <c r="AE98" s="8"/>
      <c r="AF98" s="36"/>
      <c r="AG98" s="36"/>
      <c r="AH98" s="36"/>
      <c r="AI98" s="36"/>
      <c r="AJ98" s="36"/>
      <c r="AK98" s="36"/>
      <c r="AL98" s="36"/>
      <c r="AM98" s="36"/>
      <c r="AN98" s="36"/>
      <c r="AO98" s="36"/>
    </row>
    <row r="99" spans="1:41" x14ac:dyDescent="0.25">
      <c r="A99" s="3"/>
      <c r="B99" s="21"/>
      <c r="C99" s="36"/>
      <c r="D99" s="36"/>
      <c r="E99" s="36"/>
      <c r="F99" s="36"/>
      <c r="G99" s="36"/>
      <c r="H99" s="36"/>
      <c r="I99" s="36"/>
      <c r="J99" s="36"/>
      <c r="K99" s="36"/>
      <c r="L99" s="36"/>
      <c r="M99" s="36"/>
      <c r="N99" s="36"/>
      <c r="O99" s="38"/>
      <c r="P99" s="3"/>
      <c r="AE99" s="8"/>
      <c r="AF99" s="36"/>
      <c r="AG99" s="36"/>
      <c r="AH99" s="36"/>
      <c r="AI99" s="36"/>
      <c r="AJ99" s="36"/>
      <c r="AK99" s="36"/>
      <c r="AL99" s="36"/>
      <c r="AM99" s="36"/>
      <c r="AN99" s="36"/>
      <c r="AO99" s="36"/>
    </row>
    <row r="100" spans="1:41" ht="16.5" thickBot="1" x14ac:dyDescent="0.3">
      <c r="A100" s="4"/>
      <c r="B100" s="164">
        <f>B98</f>
        <v>6.756506378150271</v>
      </c>
      <c r="C100" s="1" t="s">
        <v>640</v>
      </c>
      <c r="G100" s="36"/>
      <c r="H100" s="36"/>
      <c r="I100" s="36"/>
      <c r="J100" s="36"/>
      <c r="K100" s="36"/>
      <c r="L100" s="36"/>
      <c r="M100" s="36"/>
      <c r="N100" s="36"/>
      <c r="O100" s="38"/>
      <c r="P100" s="3"/>
      <c r="AE100" s="8"/>
      <c r="AF100" s="36"/>
      <c r="AG100" s="36"/>
      <c r="AH100" s="36"/>
      <c r="AI100" s="36"/>
      <c r="AJ100" s="36"/>
      <c r="AK100" s="36"/>
      <c r="AL100" s="36"/>
      <c r="AM100" s="36"/>
      <c r="AN100" s="36"/>
      <c r="AO100" s="36"/>
    </row>
    <row r="101" spans="1:41" x14ac:dyDescent="0.25">
      <c r="A101" s="4"/>
      <c r="B101" s="38"/>
      <c r="C101" s="1"/>
      <c r="F101" s="36"/>
      <c r="G101" s="36"/>
      <c r="H101" s="36"/>
      <c r="I101" s="36"/>
      <c r="J101" s="36"/>
      <c r="K101" s="36"/>
      <c r="L101" s="36"/>
      <c r="M101" s="36"/>
      <c r="N101" s="36"/>
      <c r="O101" s="38"/>
      <c r="P101" s="3"/>
      <c r="AE101" s="8"/>
      <c r="AF101" s="36"/>
      <c r="AG101" s="36"/>
      <c r="AH101" s="36"/>
      <c r="AI101" s="36"/>
      <c r="AJ101" s="36"/>
      <c r="AK101" s="36"/>
      <c r="AL101" s="36"/>
      <c r="AM101" s="36"/>
      <c r="AN101" s="36"/>
      <c r="AO101" s="36"/>
    </row>
    <row r="102" spans="1:41" x14ac:dyDescent="0.25">
      <c r="A102" s="4"/>
      <c r="B102" s="38"/>
      <c r="C102" s="1"/>
      <c r="F102" s="36"/>
      <c r="G102" s="36"/>
      <c r="H102" s="36"/>
      <c r="I102" s="36"/>
      <c r="J102" s="36"/>
      <c r="K102" s="36"/>
      <c r="L102" s="36"/>
      <c r="M102" s="36"/>
      <c r="N102" s="36"/>
      <c r="O102" s="38"/>
      <c r="P102" s="3"/>
      <c r="AE102" s="8"/>
      <c r="AF102" s="36"/>
      <c r="AG102" s="36"/>
      <c r="AH102" s="36"/>
      <c r="AI102" s="36"/>
      <c r="AJ102" s="36"/>
      <c r="AK102" s="36"/>
      <c r="AL102" s="36"/>
      <c r="AM102" s="36"/>
      <c r="AN102" s="36"/>
      <c r="AO102" s="36"/>
    </row>
    <row r="103" spans="1:41" x14ac:dyDescent="0.25">
      <c r="A103" s="3"/>
      <c r="B103" s="36"/>
      <c r="C103" s="36"/>
      <c r="D103" s="36"/>
      <c r="E103" s="36"/>
      <c r="F103" s="36"/>
      <c r="G103" s="36"/>
      <c r="H103" s="36"/>
      <c r="I103" s="36"/>
      <c r="J103" s="36"/>
      <c r="K103" s="36"/>
      <c r="L103" s="36"/>
      <c r="M103" s="36"/>
      <c r="N103" s="36"/>
      <c r="O103" s="38"/>
      <c r="P103" s="3"/>
      <c r="AE103" s="8"/>
      <c r="AF103" s="36"/>
      <c r="AG103" s="36"/>
      <c r="AH103" s="36"/>
      <c r="AI103" s="36"/>
      <c r="AJ103" s="36"/>
      <c r="AK103" s="36"/>
      <c r="AL103" s="36"/>
      <c r="AM103" s="36"/>
      <c r="AN103" s="36"/>
      <c r="AO103" s="36"/>
    </row>
    <row r="104" spans="1:41" x14ac:dyDescent="0.25">
      <c r="A104" s="25" t="s">
        <v>39</v>
      </c>
      <c r="B104" s="36"/>
      <c r="C104" s="36"/>
      <c r="D104" s="36"/>
      <c r="E104" s="39"/>
      <c r="F104" s="36"/>
      <c r="G104" s="36"/>
      <c r="H104" s="36"/>
      <c r="I104" s="36"/>
      <c r="J104" s="36"/>
      <c r="K104" s="36"/>
      <c r="L104" s="36"/>
      <c r="M104" s="36"/>
      <c r="N104" s="36"/>
      <c r="AE104" s="8"/>
      <c r="AF104" s="36"/>
      <c r="AG104" s="36"/>
      <c r="AH104" s="36"/>
      <c r="AI104" s="36"/>
      <c r="AJ104" s="36"/>
      <c r="AK104" s="36"/>
      <c r="AL104" s="36"/>
      <c r="AM104" s="36"/>
      <c r="AN104" s="36"/>
      <c r="AO104" s="9"/>
    </row>
    <row r="105" spans="1:41" x14ac:dyDescent="0.25">
      <c r="B105" s="1" t="s">
        <v>23</v>
      </c>
      <c r="C105" s="25"/>
      <c r="D105" s="25"/>
      <c r="E105" s="25"/>
      <c r="F105" s="25"/>
      <c r="G105" s="25"/>
      <c r="H105" s="25"/>
      <c r="I105" s="25"/>
      <c r="J105" s="25"/>
      <c r="K105" s="25"/>
      <c r="L105" s="25"/>
      <c r="M105" s="25"/>
      <c r="N105" s="25"/>
      <c r="AE105" s="8"/>
      <c r="AF105" s="36"/>
      <c r="AG105" s="36"/>
      <c r="AH105" s="36"/>
      <c r="AI105" s="36"/>
      <c r="AJ105" s="36"/>
      <c r="AK105" s="36"/>
      <c r="AL105" s="36"/>
      <c r="AM105" s="36"/>
      <c r="AN105" s="36"/>
      <c r="AO105" s="9"/>
    </row>
    <row r="106" spans="1:41" x14ac:dyDescent="0.25">
      <c r="A106" s="3" t="s">
        <v>24</v>
      </c>
      <c r="B106" s="25">
        <v>0</v>
      </c>
      <c r="C106" s="25">
        <v>5</v>
      </c>
      <c r="D106" s="25">
        <v>10</v>
      </c>
      <c r="E106" s="25">
        <v>15</v>
      </c>
      <c r="F106" s="25">
        <v>20</v>
      </c>
      <c r="G106" s="25">
        <v>25</v>
      </c>
      <c r="H106" s="25">
        <v>30</v>
      </c>
      <c r="I106" s="25">
        <v>40</v>
      </c>
      <c r="J106" s="25">
        <v>50</v>
      </c>
      <c r="K106" s="25"/>
      <c r="L106" s="25"/>
      <c r="M106" s="25"/>
      <c r="N106" s="25"/>
      <c r="P106" s="8"/>
      <c r="AE106" s="8"/>
      <c r="AF106" s="36"/>
      <c r="AG106" s="36"/>
      <c r="AH106" s="36"/>
      <c r="AI106" s="36"/>
      <c r="AJ106" s="36"/>
      <c r="AK106" s="36"/>
      <c r="AL106" s="36"/>
      <c r="AM106" s="36"/>
      <c r="AN106" s="36"/>
      <c r="AO106" s="9"/>
    </row>
    <row r="107" spans="1:41" x14ac:dyDescent="0.25">
      <c r="A107" s="3" t="s">
        <v>25</v>
      </c>
      <c r="B107" s="36">
        <f>B71/$B$100</f>
        <v>903103.07706718356</v>
      </c>
      <c r="C107" s="36">
        <f>C71/$B$100</f>
        <v>1357857.1087818646</v>
      </c>
      <c r="D107" s="36">
        <f>D71/$B$100</f>
        <v>1812611.1404965455</v>
      </c>
      <c r="E107" s="36">
        <f>E71/$B$100</f>
        <v>2267365.172211227</v>
      </c>
      <c r="F107" s="36">
        <f>F71/$B$100</f>
        <v>2722119.2039259076</v>
      </c>
      <c r="G107" s="36">
        <f>G71/$B$100</f>
        <v>3580387.3764578407</v>
      </c>
      <c r="H107" s="36">
        <f>H71/$B$100</f>
        <v>4110720.2472462296</v>
      </c>
      <c r="I107" s="36">
        <f>I71/$B$100</f>
        <v>5171385.9888230069</v>
      </c>
      <c r="J107" s="36">
        <f>J71/$B$100</f>
        <v>6257671.675848498</v>
      </c>
      <c r="K107" s="36"/>
      <c r="L107" s="36"/>
      <c r="M107" s="36"/>
      <c r="N107" s="36"/>
      <c r="AE107" s="8"/>
      <c r="AF107" s="36"/>
      <c r="AG107" s="36"/>
      <c r="AH107" s="36"/>
      <c r="AI107" s="36"/>
      <c r="AJ107" s="36"/>
      <c r="AK107" s="36"/>
      <c r="AL107" s="36"/>
      <c r="AM107" s="36"/>
      <c r="AN107" s="36"/>
      <c r="AO107" s="9"/>
    </row>
    <row r="108" spans="1:41" x14ac:dyDescent="0.25">
      <c r="A108" s="3" t="s">
        <v>26</v>
      </c>
      <c r="B108" s="36">
        <f t="shared" ref="B108:J108" si="32">B72/$B$100</f>
        <v>801904.29254476156</v>
      </c>
      <c r="C108" s="36">
        <f t="shared" si="32"/>
        <v>1107742.3913387901</v>
      </c>
      <c r="D108" s="36">
        <f t="shared" si="32"/>
        <v>1711412.3559741236</v>
      </c>
      <c r="E108" s="36">
        <f t="shared" si="32"/>
        <v>2166166.3876888049</v>
      </c>
      <c r="F108" s="36">
        <f t="shared" si="32"/>
        <v>2620920.4194034855</v>
      </c>
      <c r="G108" s="36">
        <f t="shared" si="32"/>
        <v>3101294.3965668813</v>
      </c>
      <c r="H108" s="36">
        <f t="shared" si="32"/>
        <v>3556048.4282815624</v>
      </c>
      <c r="I108" s="36">
        <f t="shared" si="32"/>
        <v>5070187.2043005852</v>
      </c>
      <c r="J108" s="36">
        <f t="shared" si="32"/>
        <v>6156472.8913260754</v>
      </c>
      <c r="K108" s="36"/>
      <c r="L108" s="36"/>
      <c r="M108" s="36"/>
      <c r="N108" s="36"/>
      <c r="AE108" s="8"/>
      <c r="AF108" s="36"/>
      <c r="AG108" s="36"/>
      <c r="AH108" s="36"/>
      <c r="AI108" s="36"/>
      <c r="AJ108" s="36"/>
      <c r="AK108" s="36"/>
      <c r="AL108" s="36"/>
      <c r="AM108" s="36"/>
      <c r="AN108" s="36"/>
      <c r="AO108" s="9"/>
    </row>
    <row r="109" spans="1:41" x14ac:dyDescent="0.25">
      <c r="A109" s="3" t="s">
        <v>27</v>
      </c>
      <c r="B109" s="36">
        <f t="shared" ref="B109:J109" si="33">B73/$B$100</f>
        <v>750664.40164733271</v>
      </c>
      <c r="C109" s="36">
        <f t="shared" si="33"/>
        <v>1056502.500441361</v>
      </c>
      <c r="D109" s="36">
        <f t="shared" si="33"/>
        <v>1362340.5992353898</v>
      </c>
      <c r="E109" s="36">
        <f t="shared" si="33"/>
        <v>2114926.4967913758</v>
      </c>
      <c r="F109" s="36">
        <f t="shared" si="33"/>
        <v>2569680.5285060569</v>
      </c>
      <c r="G109" s="36">
        <f t="shared" si="33"/>
        <v>3050054.5056694527</v>
      </c>
      <c r="H109" s="36">
        <f t="shared" si="33"/>
        <v>3504808.5373841338</v>
      </c>
      <c r="I109" s="36">
        <f t="shared" si="33"/>
        <v>4414316.600813495</v>
      </c>
      <c r="J109" s="36">
        <f t="shared" si="33"/>
        <v>6105233.0004286468</v>
      </c>
      <c r="K109" s="36"/>
      <c r="L109" s="36"/>
      <c r="M109" s="36"/>
      <c r="N109" s="36"/>
      <c r="AE109" s="8"/>
      <c r="AF109" s="36"/>
      <c r="AG109" s="36"/>
      <c r="AH109" s="36"/>
      <c r="AI109" s="36"/>
      <c r="AJ109" s="36"/>
      <c r="AK109" s="36"/>
      <c r="AL109" s="36"/>
      <c r="AM109" s="36"/>
      <c r="AN109" s="36"/>
      <c r="AO109" s="9"/>
    </row>
    <row r="110" spans="1:41" x14ac:dyDescent="0.25">
      <c r="A110" s="3" t="s">
        <v>28</v>
      </c>
      <c r="B110" s="36">
        <f t="shared" ref="B110:J110" si="34">B74/$B$100</f>
        <v>673804.56530118943</v>
      </c>
      <c r="C110" s="36">
        <f t="shared" si="34"/>
        <v>979642.66409521783</v>
      </c>
      <c r="D110" s="36">
        <f t="shared" si="34"/>
        <v>1285480.7628892462</v>
      </c>
      <c r="E110" s="36">
        <f t="shared" si="34"/>
        <v>1591318.8616832749</v>
      </c>
      <c r="F110" s="36">
        <f t="shared" si="34"/>
        <v>1897156.9604773032</v>
      </c>
      <c r="G110" s="36">
        <f t="shared" si="34"/>
        <v>2973194.6693233089</v>
      </c>
      <c r="H110" s="36">
        <f t="shared" si="34"/>
        <v>3427948.7010379904</v>
      </c>
      <c r="I110" s="36">
        <f t="shared" si="34"/>
        <v>4337456.7644673521</v>
      </c>
      <c r="J110" s="36">
        <f t="shared" si="34"/>
        <v>5272584.7733454295</v>
      </c>
      <c r="K110" s="36"/>
      <c r="L110" s="36"/>
      <c r="M110" s="36"/>
      <c r="N110" s="36"/>
      <c r="AE110" s="8"/>
      <c r="AF110" s="36"/>
      <c r="AG110" s="36"/>
      <c r="AH110" s="36"/>
      <c r="AI110" s="36"/>
      <c r="AJ110" s="36"/>
      <c r="AK110" s="36"/>
      <c r="AL110" s="36"/>
      <c r="AM110" s="36"/>
      <c r="AN110" s="36"/>
      <c r="AO110" s="9"/>
    </row>
    <row r="111" spans="1:41" x14ac:dyDescent="0.25">
      <c r="A111" s="3" t="s">
        <v>29</v>
      </c>
      <c r="B111" s="36">
        <f t="shared" ref="B111:J111" si="35">B75/$B$100</f>
        <v>673804.56530118943</v>
      </c>
      <c r="C111" s="36">
        <f t="shared" si="35"/>
        <v>979642.66409521783</v>
      </c>
      <c r="D111" s="36">
        <f t="shared" si="35"/>
        <v>1285480.7628892462</v>
      </c>
      <c r="E111" s="36">
        <f t="shared" si="35"/>
        <v>1591318.8616832749</v>
      </c>
      <c r="F111" s="36">
        <f t="shared" si="35"/>
        <v>1897156.9604773032</v>
      </c>
      <c r="G111" s="36">
        <f t="shared" si="35"/>
        <v>2228615.0047200462</v>
      </c>
      <c r="H111" s="36">
        <f t="shared" si="35"/>
        <v>2534453.1035140748</v>
      </c>
      <c r="I111" s="36">
        <f t="shared" si="35"/>
        <v>4337456.7644673521</v>
      </c>
      <c r="J111" s="36">
        <f t="shared" si="35"/>
        <v>5272584.7733454295</v>
      </c>
      <c r="K111" s="36"/>
      <c r="L111" s="36"/>
      <c r="M111" s="36"/>
      <c r="N111" s="36"/>
      <c r="AE111" s="8"/>
      <c r="AF111" s="36"/>
      <c r="AG111" s="36"/>
      <c r="AH111" s="36"/>
      <c r="AI111" s="36"/>
      <c r="AJ111" s="36"/>
      <c r="AK111" s="36"/>
      <c r="AL111" s="36"/>
      <c r="AM111" s="36"/>
      <c r="AN111" s="36"/>
      <c r="AO111" s="9"/>
    </row>
    <row r="112" spans="1:41" x14ac:dyDescent="0.25">
      <c r="A112" s="3" t="s">
        <v>30</v>
      </c>
      <c r="B112" s="36">
        <f t="shared" ref="B112:J112" si="36">B76/$B$100</f>
        <v>582853.75895825319</v>
      </c>
      <c r="C112" s="36">
        <f t="shared" si="36"/>
        <v>842255.70662648673</v>
      </c>
      <c r="D112" s="36">
        <f t="shared" si="36"/>
        <v>1194529.9565463101</v>
      </c>
      <c r="E112" s="36">
        <f t="shared" si="36"/>
        <v>1500368.0553403387</v>
      </c>
      <c r="F112" s="36">
        <f t="shared" si="36"/>
        <v>1806206.1541343671</v>
      </c>
      <c r="G112" s="36">
        <f t="shared" si="36"/>
        <v>2137664.1983771096</v>
      </c>
      <c r="H112" s="36">
        <f t="shared" si="36"/>
        <v>2443502.2971711382</v>
      </c>
      <c r="I112" s="36">
        <f t="shared" si="36"/>
        <v>3055178.4947591955</v>
      </c>
      <c r="J112" s="36">
        <f t="shared" si="36"/>
        <v>5181633.9670024924</v>
      </c>
      <c r="K112" s="36"/>
      <c r="L112" s="36"/>
      <c r="M112" s="36"/>
      <c r="N112" s="36"/>
      <c r="AE112" s="9"/>
      <c r="AF112" s="9"/>
      <c r="AG112" s="9"/>
      <c r="AH112" s="9"/>
      <c r="AI112" s="9"/>
      <c r="AJ112" s="9"/>
      <c r="AK112" s="9"/>
      <c r="AL112" s="9"/>
      <c r="AM112" s="9"/>
      <c r="AN112" s="9"/>
    </row>
    <row r="113" spans="1:31" x14ac:dyDescent="0.25">
      <c r="A113" s="3" t="s">
        <v>31</v>
      </c>
      <c r="B113" s="36">
        <f t="shared" ref="B113:J113" si="37">B77/$B$100</f>
        <v>497026.94170505984</v>
      </c>
      <c r="C113" s="36">
        <f t="shared" si="37"/>
        <v>756428.88937329338</v>
      </c>
      <c r="D113" s="36">
        <f t="shared" si="37"/>
        <v>1015830.8370415271</v>
      </c>
      <c r="E113" s="36">
        <f t="shared" si="37"/>
        <v>1275232.7847097607</v>
      </c>
      <c r="F113" s="36">
        <f t="shared" si="37"/>
        <v>1720379.3368811735</v>
      </c>
      <c r="G113" s="36">
        <f t="shared" si="37"/>
        <v>2051837.3811239165</v>
      </c>
      <c r="H113" s="36">
        <f t="shared" si="37"/>
        <v>2357675.4799179453</v>
      </c>
      <c r="I113" s="36">
        <f t="shared" si="37"/>
        <v>2969351.6775060021</v>
      </c>
      <c r="J113" s="36">
        <f t="shared" si="37"/>
        <v>3606647.8205427732</v>
      </c>
      <c r="K113" s="36"/>
      <c r="L113" s="36"/>
      <c r="M113" s="36"/>
      <c r="N113" s="36"/>
      <c r="O113" s="36"/>
      <c r="AE113" s="8"/>
    </row>
    <row r="114" spans="1:31" x14ac:dyDescent="0.25">
      <c r="A114" s="3" t="s">
        <v>32</v>
      </c>
      <c r="B114" s="36">
        <f t="shared" ref="B114:J114" si="38">B78/$B$100</f>
        <v>488059.96079800988</v>
      </c>
      <c r="C114" s="36">
        <f t="shared" si="38"/>
        <v>728246.94937970757</v>
      </c>
      <c r="D114" s="36">
        <f t="shared" si="38"/>
        <v>968433.93796140538</v>
      </c>
      <c r="E114" s="36">
        <f t="shared" si="38"/>
        <v>1266265.8038027105</v>
      </c>
      <c r="F114" s="36">
        <f t="shared" si="38"/>
        <v>1525667.7514709444</v>
      </c>
      <c r="G114" s="36">
        <f t="shared" si="38"/>
        <v>1810689.6445878921</v>
      </c>
      <c r="H114" s="36">
        <f t="shared" si="38"/>
        <v>2070091.5922561258</v>
      </c>
      <c r="I114" s="36">
        <f t="shared" si="38"/>
        <v>2588895.4875925928</v>
      </c>
      <c r="J114" s="36">
        <f t="shared" si="38"/>
        <v>3597680.8396357233</v>
      </c>
      <c r="K114" s="36"/>
      <c r="L114" s="36"/>
      <c r="M114" s="36"/>
      <c r="N114" s="36"/>
      <c r="O114" s="36"/>
    </row>
    <row r="115" spans="1:31" x14ac:dyDescent="0.25">
      <c r="A115" s="3" t="s">
        <v>33</v>
      </c>
      <c r="B115" s="36">
        <f t="shared" ref="B115:J115" si="39">B79/$B$100</f>
        <v>385580.17900315218</v>
      </c>
      <c r="C115" s="36">
        <f t="shared" si="39"/>
        <v>577729.76986851043</v>
      </c>
      <c r="D115" s="36">
        <f t="shared" si="39"/>
        <v>865954.15616654779</v>
      </c>
      <c r="E115" s="36">
        <f t="shared" si="39"/>
        <v>1106141.1447482454</v>
      </c>
      <c r="F115" s="36">
        <f t="shared" si="39"/>
        <v>1346328.1333299433</v>
      </c>
      <c r="G115" s="36">
        <f t="shared" si="39"/>
        <v>1612135.0673603555</v>
      </c>
      <c r="H115" s="36">
        <f t="shared" si="39"/>
        <v>1852322.055942053</v>
      </c>
      <c r="I115" s="36">
        <f t="shared" si="39"/>
        <v>2332696.0331054488</v>
      </c>
      <c r="J115" s="36">
        <f t="shared" si="39"/>
        <v>3030839.5465829168</v>
      </c>
      <c r="K115" s="36"/>
      <c r="L115" s="36"/>
      <c r="M115" s="36"/>
      <c r="N115" s="36"/>
      <c r="O115" s="36"/>
    </row>
    <row r="116" spans="1:31" x14ac:dyDescent="0.25">
      <c r="A116" s="3" t="s">
        <v>34</v>
      </c>
      <c r="B116" s="36">
        <f t="shared" ref="B116:J116" si="40">B80/$B$100</f>
        <v>280538.40266342298</v>
      </c>
      <c r="C116" s="36">
        <f t="shared" si="40"/>
        <v>472687.99352878123</v>
      </c>
      <c r="D116" s="36">
        <f t="shared" si="40"/>
        <v>760912.37982681848</v>
      </c>
      <c r="E116" s="36">
        <f t="shared" si="40"/>
        <v>1001099.3684085162</v>
      </c>
      <c r="F116" s="36">
        <f t="shared" si="40"/>
        <v>1241286.356990214</v>
      </c>
      <c r="G116" s="36">
        <f t="shared" si="40"/>
        <v>1507093.2910206264</v>
      </c>
      <c r="H116" s="36">
        <f t="shared" si="40"/>
        <v>1747280.2796023239</v>
      </c>
      <c r="I116" s="36">
        <f t="shared" si="40"/>
        <v>2227654.2567657195</v>
      </c>
      <c r="J116" s="36">
        <f t="shared" si="40"/>
        <v>2925797.7702431874</v>
      </c>
      <c r="K116" s="36"/>
      <c r="L116" s="36"/>
      <c r="M116" s="36"/>
      <c r="N116" s="36"/>
      <c r="O116" s="36"/>
    </row>
    <row r="117" spans="1:31" x14ac:dyDescent="0.25">
      <c r="A117" s="3" t="s">
        <v>35</v>
      </c>
      <c r="B117" s="36">
        <f t="shared" ref="B117:J117" si="41">B81/$B$100</f>
        <v>280538.40266342298</v>
      </c>
      <c r="C117" s="36">
        <f t="shared" si="41"/>
        <v>472687.99352878123</v>
      </c>
      <c r="D117" s="36">
        <f t="shared" si="41"/>
        <v>664837.58439413947</v>
      </c>
      <c r="E117" s="36">
        <f t="shared" si="41"/>
        <v>856987.1752594976</v>
      </c>
      <c r="F117" s="36">
        <f t="shared" si="41"/>
        <v>1241286.356990214</v>
      </c>
      <c r="G117" s="36">
        <f t="shared" si="41"/>
        <v>1507093.2910206264</v>
      </c>
      <c r="H117" s="36">
        <f t="shared" si="41"/>
        <v>1747280.2796023239</v>
      </c>
      <c r="I117" s="36">
        <f t="shared" si="41"/>
        <v>2227654.2567657195</v>
      </c>
      <c r="J117" s="36">
        <f t="shared" si="41"/>
        <v>2733648.1793778297</v>
      </c>
      <c r="K117" s="36"/>
      <c r="L117" s="36"/>
      <c r="M117" s="36"/>
      <c r="N117" s="36"/>
      <c r="O117" s="36"/>
    </row>
    <row r="118" spans="1:31" x14ac:dyDescent="0.25">
      <c r="A118" s="3" t="s">
        <v>36</v>
      </c>
      <c r="B118" s="36">
        <f t="shared" ref="B118:J118" si="42">B82/$B$100</f>
        <v>234422.50085573702</v>
      </c>
      <c r="C118" s="36">
        <f t="shared" si="42"/>
        <v>426572.09172109526</v>
      </c>
      <c r="D118" s="36">
        <f t="shared" si="42"/>
        <v>618721.68258645339</v>
      </c>
      <c r="E118" s="36">
        <f t="shared" si="42"/>
        <v>810871.27345181163</v>
      </c>
      <c r="F118" s="36">
        <f t="shared" si="42"/>
        <v>1003020.86431717</v>
      </c>
      <c r="G118" s="36">
        <f t="shared" si="42"/>
        <v>1220790.4006312427</v>
      </c>
      <c r="H118" s="36">
        <f t="shared" si="42"/>
        <v>1412939.9914966007</v>
      </c>
      <c r="I118" s="36">
        <f t="shared" si="42"/>
        <v>2181538.3549580337</v>
      </c>
      <c r="J118" s="36">
        <f t="shared" si="42"/>
        <v>2687532.2775701438</v>
      </c>
      <c r="K118" s="36"/>
      <c r="L118" s="36"/>
      <c r="M118" s="36"/>
      <c r="N118" s="36"/>
      <c r="O118" s="36"/>
    </row>
    <row r="119" spans="1:31" x14ac:dyDescent="0.25">
      <c r="A119" s="3" t="s">
        <v>37</v>
      </c>
      <c r="B119" s="36">
        <f t="shared" ref="B119:J119" si="43">B83/$B$100</f>
        <v>234422.50085573702</v>
      </c>
      <c r="C119" s="36">
        <f t="shared" si="43"/>
        <v>394547.1599102022</v>
      </c>
      <c r="D119" s="36">
        <f t="shared" si="43"/>
        <v>618721.68258645339</v>
      </c>
      <c r="E119" s="36">
        <f t="shared" si="43"/>
        <v>810871.27345181163</v>
      </c>
      <c r="F119" s="36">
        <f t="shared" si="43"/>
        <v>1003020.86431717</v>
      </c>
      <c r="G119" s="36">
        <f t="shared" si="43"/>
        <v>1220790.4006312427</v>
      </c>
      <c r="H119" s="36">
        <f t="shared" si="43"/>
        <v>1412939.9914966007</v>
      </c>
      <c r="I119" s="36">
        <f t="shared" si="43"/>
        <v>1797239.1732273172</v>
      </c>
      <c r="J119" s="36">
        <f t="shared" si="43"/>
        <v>2687532.2775701438</v>
      </c>
      <c r="K119" s="36"/>
      <c r="L119" s="36"/>
      <c r="M119" s="36"/>
      <c r="N119" s="36"/>
      <c r="O119" s="36"/>
    </row>
    <row r="120" spans="1:31" x14ac:dyDescent="0.25">
      <c r="A120" s="3" t="s">
        <v>38</v>
      </c>
      <c r="B120" s="36">
        <f t="shared" ref="B120:J120" si="44">B84/$B$100</f>
        <v>197273.5799551011</v>
      </c>
      <c r="C120" s="36">
        <f t="shared" si="44"/>
        <v>357398.2390095662</v>
      </c>
      <c r="D120" s="36">
        <f t="shared" si="44"/>
        <v>581572.7616858175</v>
      </c>
      <c r="E120" s="36">
        <f t="shared" si="44"/>
        <v>773722.35255117575</v>
      </c>
      <c r="F120" s="36">
        <f t="shared" si="44"/>
        <v>965871.94341653388</v>
      </c>
      <c r="G120" s="36">
        <f t="shared" si="44"/>
        <v>1183641.4797306065</v>
      </c>
      <c r="H120" s="36">
        <f t="shared" si="44"/>
        <v>1375791.070595965</v>
      </c>
      <c r="I120" s="36">
        <f t="shared" si="44"/>
        <v>1760090.252326681</v>
      </c>
      <c r="J120" s="36">
        <f t="shared" si="44"/>
        <v>2170009.3795061121</v>
      </c>
      <c r="K120" s="36"/>
      <c r="L120" s="36"/>
      <c r="M120" s="36"/>
      <c r="N120" s="36"/>
      <c r="O120" s="36"/>
      <c r="AE120" s="3"/>
    </row>
    <row r="121" spans="1:31" x14ac:dyDescent="0.25">
      <c r="A121" s="3"/>
      <c r="B121" s="36"/>
      <c r="C121" s="36"/>
      <c r="D121" s="36"/>
      <c r="E121" s="36"/>
      <c r="F121" s="36"/>
      <c r="G121" s="36"/>
      <c r="H121" s="36"/>
      <c r="I121" s="36"/>
      <c r="J121" s="36"/>
      <c r="K121" s="36"/>
      <c r="L121" s="36"/>
      <c r="M121" s="36"/>
      <c r="N121" s="36"/>
      <c r="O121" s="36"/>
      <c r="AE121" s="3"/>
    </row>
    <row r="122" spans="1:31" x14ac:dyDescent="0.25">
      <c r="A122" s="1" t="s">
        <v>40</v>
      </c>
      <c r="B122" s="40" t="s">
        <v>41</v>
      </c>
      <c r="C122" s="36"/>
      <c r="D122" s="36"/>
      <c r="E122" s="36"/>
      <c r="F122" s="36"/>
      <c r="G122" s="36"/>
      <c r="H122" s="36"/>
      <c r="I122" s="36"/>
      <c r="J122" s="9"/>
      <c r="K122" s="9"/>
      <c r="L122" s="9"/>
      <c r="M122" s="9"/>
      <c r="N122" s="9"/>
      <c r="O122" s="9"/>
      <c r="P122" s="9"/>
      <c r="Q122" s="9"/>
      <c r="R122" s="9"/>
      <c r="AE122" s="3"/>
    </row>
    <row r="123" spans="1:31" x14ac:dyDescent="0.25">
      <c r="A123" s="3"/>
      <c r="B123" s="1" t="s">
        <v>23</v>
      </c>
      <c r="C123" s="25"/>
      <c r="D123" s="25"/>
      <c r="E123" s="25"/>
      <c r="F123" s="25"/>
      <c r="G123" s="25"/>
      <c r="H123" s="25"/>
      <c r="I123" s="25"/>
      <c r="J123" s="25"/>
      <c r="K123" s="25"/>
      <c r="L123" s="25"/>
      <c r="M123" s="25"/>
      <c r="N123" s="25"/>
      <c r="Q123" s="8"/>
      <c r="R123" s="9"/>
    </row>
    <row r="124" spans="1:31" x14ac:dyDescent="0.25">
      <c r="A124" s="3" t="s">
        <v>24</v>
      </c>
      <c r="B124" s="25">
        <v>0</v>
      </c>
      <c r="C124" s="25">
        <v>5</v>
      </c>
      <c r="D124" s="25">
        <v>10</v>
      </c>
      <c r="E124" s="25">
        <v>15</v>
      </c>
      <c r="F124" s="25">
        <v>20</v>
      </c>
      <c r="G124" s="25">
        <v>25</v>
      </c>
      <c r="H124" s="25">
        <v>30</v>
      </c>
      <c r="I124" s="25">
        <v>40</v>
      </c>
      <c r="J124" s="25">
        <v>50</v>
      </c>
      <c r="K124" s="25"/>
      <c r="L124" s="25"/>
      <c r="M124" s="25"/>
      <c r="N124" s="25"/>
      <c r="P124" s="8"/>
      <c r="Q124" s="8"/>
      <c r="R124" s="9"/>
    </row>
    <row r="125" spans="1:31" x14ac:dyDescent="0.25">
      <c r="A125" s="3" t="s">
        <v>25</v>
      </c>
      <c r="B125" s="36">
        <f>B107+B71*0.025+$C$59</f>
        <v>1194129.6794411533</v>
      </c>
      <c r="C125" s="36">
        <f>C107+(0.01*(C71-$B71)+(0.025*$B71))+$C$61+$C$64*C$124+$C$59</f>
        <v>1826745.322420818</v>
      </c>
      <c r="D125" s="36">
        <f>D107+(0.01*(D71-$B71)+(0.025*$B71))+$C$61+$C$64*D$124+$C$59</f>
        <v>2398775.5017092475</v>
      </c>
      <c r="E125" s="36">
        <f>E107+(0.01*(E71-$B71)+(0.025*$B71))+$C$61+$C$64*E$124+$C$59</f>
        <v>2970805.6809976781</v>
      </c>
      <c r="F125" s="36">
        <f>F107+(0.01*(F71-$B71)+(0.025*$B71))+$C$61+$C$64*F$124+$C$59</f>
        <v>3542835.8602861068</v>
      </c>
      <c r="G125" s="36">
        <f>G107+(0.01*(G71-$B71)+(0.025*$B71))+$C$61+$C$64*G$124+$C$59</f>
        <v>4545643.6390528437</v>
      </c>
      <c r="H125" s="36">
        <f>H107+(0.01*(H71-$B71)+(0.025*$B71))+$C$61+$C$64*H$124+$C$59</f>
        <v>5198359.1464975281</v>
      </c>
      <c r="I125" s="36">
        <f>I107+(0.01*(I71-$B71)+(0.025*$B71))+$C$61+$C$64*I$124+$C$59</f>
        <v>6503790.1613868969</v>
      </c>
      <c r="J125" s="36">
        <f>J107+(0.01*(J71-$B71)+(0.025*$B71))+$C$61+$C$64*J$124+$C$59</f>
        <v>7836572.1349732988</v>
      </c>
      <c r="K125" s="36"/>
      <c r="L125" s="36"/>
      <c r="M125" s="36"/>
      <c r="N125" s="36"/>
      <c r="R125" s="9"/>
      <c r="AE125" s="3"/>
    </row>
    <row r="126" spans="1:31" x14ac:dyDescent="0.25">
      <c r="A126" s="3" t="s">
        <v>26</v>
      </c>
      <c r="B126" s="36">
        <f>B108+B72*0.025+$C$59</f>
        <v>1075837.1390915613</v>
      </c>
      <c r="C126" s="36">
        <f>C108+(0.01*(C72-$B72)+(0.025*$B72))+$C$61+$C$64*C$124+$C$59</f>
        <v>1549475.3346447076</v>
      </c>
      <c r="D126" s="36">
        <f>D108+(0.01*(D72-$B72)+(0.025*$B72))+$C$61+$C$64*D$124+$C$59</f>
        <v>2280482.961359656</v>
      </c>
      <c r="E126" s="36">
        <f>E108+(0.01*(E72-$B72)+(0.025*$B72))+$C$61+$C$64*E$124+$C$59</f>
        <v>2852513.1406480856</v>
      </c>
      <c r="F126" s="36">
        <f>F108+(0.01*(F72-$B72)+(0.025*$B72))+$C$61+$C$64*F$124+$C$59</f>
        <v>3424543.3199365144</v>
      </c>
      <c r="G126" s="36">
        <f>G108+(0.01*(G72-$B72)+(0.025*$B72))+$C$61+$C$64*G$124+$C$59</f>
        <v>4023924.4579219799</v>
      </c>
      <c r="H126" s="36">
        <f>H108+(0.01*(H72-$B72)+(0.025*$B72))+$C$61+$C$64*H$124+$C$59</f>
        <v>4595954.6372104092</v>
      </c>
      <c r="I126" s="36">
        <f>I108+(0.01*(I72-$B72)+(0.025*$B72))+$C$61+$C$64*I$124+$C$59</f>
        <v>6385497.6210373053</v>
      </c>
      <c r="J126" s="36">
        <f>J108+(0.01*(J72-$B72)+(0.025*$B72))+$C$61+$C$64*J$124+$C$59</f>
        <v>7718279.5946237063</v>
      </c>
      <c r="K126" s="36"/>
      <c r="L126" s="36"/>
      <c r="M126" s="36"/>
      <c r="N126" s="36"/>
      <c r="R126" s="9"/>
    </row>
    <row r="127" spans="1:31" x14ac:dyDescent="0.25">
      <c r="A127" s="3" t="s">
        <v>27</v>
      </c>
      <c r="B127" s="36">
        <f>B109+B73*0.025+$C$59</f>
        <v>1015942.1819525275</v>
      </c>
      <c r="C127" s="36">
        <f>C109+(0.01*(C73-$B73)+(0.025*$B73))+$C$61+$C$64*C$124+$C$59</f>
        <v>1489580.3775056736</v>
      </c>
      <c r="D127" s="36">
        <f>D109+(0.01*(D73-$B73)+(0.025*$B73))+$C$61+$C$64*D$124+$C$59</f>
        <v>1902633.109367585</v>
      </c>
      <c r="E127" s="36">
        <f>E109+(0.01*(E73-$B73)+(0.025*$B73))+$C$61+$C$64*E$124+$C$59</f>
        <v>2792618.1835090518</v>
      </c>
      <c r="F127" s="36">
        <f>F109+(0.01*(F73-$B73)+(0.025*$B73))+$C$61+$C$64*F$124+$C$59</f>
        <v>3364648.3627974815</v>
      </c>
      <c r="G127" s="36">
        <f>G109+(0.01*(G73-$B73)+(0.025*$B73))+$C$61+$C$64*G$124+$C$59</f>
        <v>3964029.5007829461</v>
      </c>
      <c r="H127" s="36">
        <f>H109+(0.01*(H73-$B73)+(0.025*$B73))+$C$61+$C$64*H$124+$C$59</f>
        <v>4536059.6800713753</v>
      </c>
      <c r="I127" s="36">
        <f>I109+(0.01*(I73-$B73)+(0.025*$B73))+$C$61+$C$64*I$124+$C$59</f>
        <v>5680120.0386482337</v>
      </c>
      <c r="J127" s="36">
        <f>J109+(0.01*(J73-$B73)+(0.025*$B73))+$C$61+$C$64*J$124+$C$59</f>
        <v>7658384.6374846725</v>
      </c>
      <c r="K127" s="36"/>
      <c r="L127" s="36"/>
      <c r="M127" s="36"/>
      <c r="N127" s="36"/>
      <c r="R127" s="9"/>
    </row>
    <row r="128" spans="1:31" x14ac:dyDescent="0.25">
      <c r="A128" s="3" t="s">
        <v>28</v>
      </c>
      <c r="B128" s="36">
        <f>B110+B74*0.025+$C$59</f>
        <v>926099.74624397676</v>
      </c>
      <c r="C128" s="36">
        <f>C110+(0.01*(C74-$B74)+(0.025*$B74))+$C$61+$C$64*C$124+$C$59</f>
        <v>1399737.9417971228</v>
      </c>
      <c r="D128" s="36">
        <f>D110+(0.01*(D74-$B74)+(0.025*$B74))+$C$61+$C$64*D$124+$C$59</f>
        <v>1812790.6736590338</v>
      </c>
      <c r="E128" s="36">
        <f>E110+(0.01*(E74-$B74)+(0.025*$B74))+$C$61+$C$64*E$124+$C$59</f>
        <v>2225843.4055209453</v>
      </c>
      <c r="F128" s="36">
        <f>F110+(0.01*(F74-$B74)+(0.025*$B74))+$C$61+$C$64*F$124+$C$59</f>
        <v>2638896.1373828561</v>
      </c>
      <c r="G128" s="36">
        <f>G110+(0.01*(G74-$B74)+(0.025*$B74))+$C$61+$C$64*G$124+$C$59</f>
        <v>3874187.0650743949</v>
      </c>
      <c r="H128" s="36">
        <f>H110+(0.01*(H74-$B74)+(0.025*$B74))+$C$61+$C$64*H$124+$C$59</f>
        <v>4446217.2443628246</v>
      </c>
      <c r="I128" s="36">
        <f>I110+(0.01*(I74-$B74)+(0.025*$B74))+$C$61+$C$64*I$124+$C$59</f>
        <v>5590277.602939683</v>
      </c>
      <c r="J128" s="36">
        <f>J110+(0.01*(J74-$B74)+(0.025*$B74))+$C$61+$C$64*J$124+$C$59</f>
        <v>6761688.9202135783</v>
      </c>
      <c r="K128" s="36"/>
      <c r="L128" s="36"/>
      <c r="M128" s="36"/>
      <c r="N128" s="36"/>
      <c r="R128" s="9"/>
    </row>
    <row r="129" spans="1:41" x14ac:dyDescent="0.25">
      <c r="A129" s="3" t="s">
        <v>29</v>
      </c>
      <c r="B129" s="36">
        <f>B111+B75*0.025+$C$60</f>
        <v>856859.21631113626</v>
      </c>
      <c r="C129" s="36">
        <f>C111+(0.01*(C75-$B75)+(0.025*$B75))+C61+C64*C$124+$C$60</f>
        <v>1330497.4118642826</v>
      </c>
      <c r="D129" s="36">
        <f>D111+(0.01*(D75-$B75)+(0.025*$B75))+$C$61+$C$64*D$124+$C$60</f>
        <v>1743550.1437261936</v>
      </c>
      <c r="E129" s="36">
        <f>E111+(0.01*(E75-$B75)+(0.025*$B75))+$C$61+$C$64*E$124+$C$60</f>
        <v>2156602.8755881046</v>
      </c>
      <c r="F129" s="36">
        <f>F111+(0.01*(F75-$B75)+(0.025*$B75))+$C$61+$C$64*F$124+$C$60</f>
        <v>2569655.6074500154</v>
      </c>
      <c r="G129" s="36">
        <f>G111+(0.01*(G75-$B75)+(0.025*$B75))+$C$61+$C$64*G$124+$C$60</f>
        <v>3010059.2980089621</v>
      </c>
      <c r="H129" s="36">
        <f>H111+(0.01*(H75-$B75)+(0.025*$B75))+$C$61+$C$64*H$124+$C$60</f>
        <v>3423112.0298708738</v>
      </c>
      <c r="I129" s="36">
        <f>I111+(0.01*(I75-$B75)+(0.025*$B75))+$C$61+$C$64*I$124+$C$60</f>
        <v>5521037.0730068432</v>
      </c>
      <c r="J129" s="36">
        <f>J111+(0.01*(J75-$B75)+(0.025*$B75))+$C$61+$C$64*J$124+$C$60</f>
        <v>6692448.3902807385</v>
      </c>
      <c r="K129" s="36"/>
      <c r="L129" s="36"/>
      <c r="M129" s="36"/>
      <c r="N129" s="36"/>
      <c r="R129" s="9"/>
      <c r="AE129" s="8"/>
      <c r="AF129" s="8"/>
      <c r="AG129" s="8"/>
      <c r="AH129" s="8"/>
      <c r="AI129" s="8"/>
      <c r="AJ129" s="8"/>
      <c r="AK129" s="8"/>
      <c r="AL129" s="8"/>
      <c r="AM129" s="8"/>
      <c r="AN129" s="8"/>
      <c r="AO129" s="9"/>
    </row>
    <row r="130" spans="1:41" x14ac:dyDescent="0.25">
      <c r="A130" s="3" t="s">
        <v>30</v>
      </c>
      <c r="B130" s="36">
        <f>B112+B76*0.025+$C$60</f>
        <v>750545.66738935106</v>
      </c>
      <c r="C130" s="36">
        <f>C112+(0.01*(C76-$B76)+(0.025*$B76))+$C$61+$C$64*C$124+$C$60</f>
        <v>1174610.2503041208</v>
      </c>
      <c r="D130" s="36">
        <f>D112+(0.01*(D76-$B76)+(0.025*$B76))+$C$61+$C$64*D$124+$C$60</f>
        <v>1637236.5948044087</v>
      </c>
      <c r="E130" s="36">
        <f>E112+(0.01*(E76-$B76)+(0.025*$B76))+$C$61+$C$64*E$124+$C$60</f>
        <v>2050289.3266663197</v>
      </c>
      <c r="F130" s="36">
        <f>F112+(0.01*(F76-$B76)+(0.025*$B76))+$C$61+$C$64*F$124+$C$60</f>
        <v>2463342.0585282305</v>
      </c>
      <c r="G130" s="36">
        <f>G112+(0.01*(G76-$B76)+(0.025*$B76))+$C$61+$C$64*G$124+$C$60</f>
        <v>2903745.7490871768</v>
      </c>
      <c r="H130" s="36">
        <f>H112+(0.01*(H76-$B76)+(0.025*$B76))+$C$61+$C$64*H$124+$C$60</f>
        <v>3316798.480949088</v>
      </c>
      <c r="I130" s="36">
        <f>I112+(0.01*(I76-$B76)+(0.025*$B76))+$C$61+$C$64*I$124+$C$60</f>
        <v>4142903.9446729105</v>
      </c>
      <c r="J130" s="36">
        <f>J112+(0.01*(J76-$B76)+(0.025*$B76))+$C$61+$C$64*J$124+$C$60</f>
        <v>6586134.8413589522</v>
      </c>
      <c r="K130" s="36"/>
      <c r="L130" s="36"/>
      <c r="M130" s="36"/>
      <c r="N130" s="36"/>
      <c r="R130" s="9"/>
      <c r="AE130" s="3"/>
      <c r="AF130" s="8"/>
      <c r="AG130" s="8"/>
      <c r="AH130" s="8"/>
      <c r="AI130" s="8"/>
      <c r="AJ130" s="8"/>
      <c r="AK130" s="8"/>
      <c r="AL130" s="8"/>
      <c r="AM130" s="8"/>
      <c r="AN130" s="8"/>
      <c r="AO130" s="9"/>
    </row>
    <row r="131" spans="1:41" x14ac:dyDescent="0.25">
      <c r="A131" s="3" t="s">
        <v>31</v>
      </c>
      <c r="B131" s="36">
        <f>B113+B77*0.025+$C$60</f>
        <v>650221.61418146919</v>
      </c>
      <c r="C131" s="36">
        <f>C113+(0.01*(C77-$B77)+(0.025*$B77))+$C$61+$C$64*C$124+$C$60</f>
        <v>1074286.1970962391</v>
      </c>
      <c r="D131" s="36">
        <f>D113+(0.01*(D77-$B77)+(0.025*$B77))+$C$61+$C$64*D$124+$C$60</f>
        <v>1437765.3163197732</v>
      </c>
      <c r="E131" s="36">
        <f>E113+(0.01*(E77-$B77)+(0.025*$B77))+$C$61+$C$64*E$124+$C$60</f>
        <v>1801244.4355433078</v>
      </c>
      <c r="F131" s="36">
        <f>F113+(0.01*(F77-$B77)+(0.025*$B77))+$C$61+$C$64*F$124+$C$60</f>
        <v>2363018.0053203483</v>
      </c>
      <c r="G131" s="36">
        <f>G113+(0.01*(G77-$B77)+(0.025*$B77))+$C$61+$C$64*G$124+$C$60</f>
        <v>2803421.695879295</v>
      </c>
      <c r="H131" s="36">
        <f>H113+(0.01*(H77-$B77)+(0.025*$B77))+$C$61+$C$64*H$124+$C$60</f>
        <v>3216474.4277412067</v>
      </c>
      <c r="I131" s="36">
        <f>I113+(0.01*(I77-$B77)+(0.025*$B77))+$C$61+$C$64*I$124+$C$60</f>
        <v>4042579.8914650283</v>
      </c>
      <c r="J131" s="36">
        <f>J113+(0.01*(J77-$B77)+(0.025*$B77))+$C$61+$C$64*J$124+$C$60</f>
        <v>4896036.3138858862</v>
      </c>
      <c r="K131" s="36"/>
      <c r="L131" s="36"/>
      <c r="M131" s="36"/>
      <c r="N131" s="36"/>
      <c r="O131" s="36"/>
      <c r="R131" s="9"/>
      <c r="AE131" s="8"/>
      <c r="AF131" s="36"/>
      <c r="AG131" s="36"/>
      <c r="AH131" s="36"/>
      <c r="AI131" s="36"/>
      <c r="AJ131" s="36"/>
      <c r="AK131" s="36"/>
      <c r="AL131" s="36"/>
      <c r="AM131" s="36"/>
      <c r="AN131" s="36"/>
      <c r="AO131" s="9"/>
    </row>
    <row r="132" spans="1:41" x14ac:dyDescent="0.25">
      <c r="A132" s="3" t="s">
        <v>32</v>
      </c>
      <c r="B132" s="36">
        <f>B114+B78*0.025+$C$60</f>
        <v>639739.99668213842</v>
      </c>
      <c r="C132" s="36">
        <f>C114+(0.01*(C78-$B78)+(0.025*$B78))+$C$61+$C$64*C$124+$C$60</f>
        <v>1043291.3605741315</v>
      </c>
      <c r="D132" s="36">
        <f>D114+(0.01*(D78-$B78)+(0.025*$B78))+$C$61+$C$64*D$124+$C$60</f>
        <v>1386257.2607748893</v>
      </c>
      <c r="E132" s="36">
        <f>E114+(0.01*(E78-$B78)+(0.025*$B78))+$C$61+$C$64*E$124+$C$60</f>
        <v>1790762.8180439766</v>
      </c>
      <c r="F132" s="36">
        <f>F114+(0.01*(F78-$B78)+(0.025*$B78))+$C$61+$C$64*F$124+$C$60</f>
        <v>2154241.9372675112</v>
      </c>
      <c r="G132" s="36">
        <f>G114+(0.01*(G78-$B78)+(0.025*$B78))+$C$61+$C$64*G$124+$C$60</f>
        <v>2545072.0151880807</v>
      </c>
      <c r="H132" s="36">
        <f>H114+(0.01*(H78-$B78)+(0.025*$B78))+$C$61+$C$64*H$124+$C$60</f>
        <v>2908551.1344116153</v>
      </c>
      <c r="I132" s="36">
        <f>I114+(0.01*(I78-$B78)+(0.025*$B78))+$C$61+$C$64*I$124+$C$60</f>
        <v>3635509.3728586836</v>
      </c>
      <c r="J132" s="36">
        <f>J114+(0.01*(J78-$B78)+(0.025*$B78))+$C$61+$C$64*J$124+$C$60</f>
        <v>4885554.6963865552</v>
      </c>
      <c r="K132" s="36"/>
      <c r="L132" s="36"/>
      <c r="M132" s="36"/>
      <c r="N132" s="36"/>
      <c r="O132" s="36"/>
      <c r="R132" s="9"/>
      <c r="AE132" s="8"/>
      <c r="AF132" s="36"/>
      <c r="AG132" s="36"/>
      <c r="AH132" s="36"/>
      <c r="AI132" s="36"/>
      <c r="AJ132" s="36"/>
      <c r="AK132" s="36"/>
      <c r="AL132" s="36"/>
      <c r="AM132" s="36"/>
      <c r="AN132" s="36"/>
      <c r="AO132" s="9"/>
    </row>
    <row r="133" spans="1:41" x14ac:dyDescent="0.25">
      <c r="A133" s="3" t="s">
        <v>33</v>
      </c>
      <c r="B133" s="36">
        <f>B115+B79*0.025+$C$60</f>
        <v>519950.08240407065</v>
      </c>
      <c r="C133" s="36">
        <f>C115+(0.01*(C79-$B79)+(0.025*$B79))+$C$61+$C$64*C$124+$C$60</f>
        <v>872218.39873912244</v>
      </c>
      <c r="D133" s="36">
        <f>D115+(0.01*(D79-$B79)+(0.025*$B79))+$C$61+$C$64*D$124+$C$60</f>
        <v>1266467.3464968216</v>
      </c>
      <c r="E133" s="36">
        <f>E115+(0.01*(E79-$B79)+(0.025*$B79))+$C$61+$C$64*E$124+$C$60</f>
        <v>1609433.246697579</v>
      </c>
      <c r="F133" s="36">
        <f>F115+(0.01*(F79-$B79)+(0.025*$B79))+$C$61+$C$64*F$124+$C$60</f>
        <v>1952399.1468983369</v>
      </c>
      <c r="G133" s="36">
        <f>G115+(0.01*(G79-$B79)+(0.025*$B79))+$C$61+$C$64*G$124+$C$60</f>
        <v>2322716.0057961303</v>
      </c>
      <c r="H133" s="36">
        <f>H115+(0.01*(H79-$B79)+(0.025*$B79))+$C$61+$C$64*H$124+$C$60</f>
        <v>2665681.9059968875</v>
      </c>
      <c r="I133" s="36">
        <f>I115+(0.01*(I79-$B79)+(0.025*$B79))+$C$61+$C$64*I$124+$C$60</f>
        <v>3351613.7063984033</v>
      </c>
      <c r="J133" s="36">
        <f>J115+(0.01*(J79-$B79)+(0.025*$B79))+$C$61+$C$64*J$124+$C$60</f>
        <v>4270028.6557247201</v>
      </c>
      <c r="K133" s="36"/>
      <c r="L133" s="15"/>
      <c r="M133" s="36"/>
      <c r="N133" s="36"/>
      <c r="O133" s="36"/>
      <c r="R133" s="9"/>
      <c r="AE133" s="8"/>
      <c r="AF133" s="36"/>
      <c r="AG133" s="36"/>
      <c r="AH133" s="36"/>
      <c r="AI133" s="36"/>
      <c r="AJ133" s="36"/>
      <c r="AK133" s="36"/>
      <c r="AL133" s="36"/>
      <c r="AM133" s="36"/>
      <c r="AN133" s="36"/>
      <c r="AO133" s="9"/>
    </row>
    <row r="134" spans="1:41" x14ac:dyDescent="0.25">
      <c r="A134" s="3" t="s">
        <v>34</v>
      </c>
      <c r="B134" s="36">
        <f>B116+B80*0.025</f>
        <v>327924.89033621066</v>
      </c>
      <c r="C134" s="36">
        <f>C116+(0.01*(C80-$B80)+(0.025*$B80))+$C$61+$C$64*C$124</f>
        <v>680193.20667126239</v>
      </c>
      <c r="D134" s="36">
        <f>D116+(0.01*(D80-$B80)+(0.025*$B80))+$C$61+$C$64*D$124</f>
        <v>1074442.1544289615</v>
      </c>
      <c r="E134" s="36">
        <f>E116+(0.01*(E80-$B80)+(0.025*$B80))+$C$61+$C$64*E$124</f>
        <v>1417408.0546297191</v>
      </c>
      <c r="F134" s="36">
        <f>F116+(0.01*(F80-$B80)+(0.025*$B80))+$C$61+$C$64*F$124</f>
        <v>1760373.9548304768</v>
      </c>
      <c r="G134" s="36">
        <f>G116+(0.01*(G80-$B80)+(0.025*$B80))+$C$61+$C$64*G$124</f>
        <v>2130690.8137282701</v>
      </c>
      <c r="H134" s="36">
        <f>H116+(0.01*(H80-$B80)+(0.025*$B80))+$C$61+$C$64*H$124</f>
        <v>2473656.7139290278</v>
      </c>
      <c r="I134" s="36">
        <f>I116+(0.01*(I80-$B80)+(0.025*$B80))+$C$61+$C$64*I$124</f>
        <v>3159588.5143305436</v>
      </c>
      <c r="J134" s="36">
        <f>J116+(0.01*(J80-$B80)+(0.025*$B80))+$C$61+$C$64*J$124</f>
        <v>4078003.4636568604</v>
      </c>
      <c r="K134" s="36"/>
      <c r="L134" s="15"/>
      <c r="M134" s="36"/>
      <c r="N134" s="36"/>
      <c r="O134" s="36"/>
      <c r="R134" s="9"/>
      <c r="AE134" s="8"/>
      <c r="AF134" s="36"/>
      <c r="AG134" s="36"/>
      <c r="AH134" s="36"/>
      <c r="AI134" s="36"/>
      <c r="AJ134" s="36"/>
      <c r="AK134" s="36"/>
      <c r="AL134" s="36"/>
      <c r="AM134" s="36"/>
      <c r="AN134" s="36"/>
      <c r="AO134" s="9"/>
    </row>
    <row r="135" spans="1:41" x14ac:dyDescent="0.25">
      <c r="A135" s="3" t="s">
        <v>35</v>
      </c>
      <c r="B135" s="36">
        <f>B117+B81*0.025</f>
        <v>327924.89033621066</v>
      </c>
      <c r="C135" s="36">
        <f>C117+(0.01*(C81-$B81)+(0.025*$B81))+$C$61+$C$64*C$124</f>
        <v>680193.20667126239</v>
      </c>
      <c r="D135" s="36">
        <f>D117+(0.01*(D81-$B81)+(0.025*$B81))+$C$61+$C$64*D$124</f>
        <v>971876.05931507866</v>
      </c>
      <c r="E135" s="36">
        <f>E117+(0.01*(E81-$B81)+(0.025*$B81))+$C$61+$C$64*E$124</f>
        <v>1263558.9119588949</v>
      </c>
      <c r="F135" s="36">
        <f>F117+(0.01*(F81-$B81)+(0.025*$B81))+$C$61+$C$64*F$124</f>
        <v>1760373.9548304768</v>
      </c>
      <c r="G135" s="36">
        <f>G117+(0.01*(G81-$B81)+(0.025*$B81))+$C$61+$C$64*G$124</f>
        <v>2130690.8137282701</v>
      </c>
      <c r="H135" s="36">
        <f>H117+(0.01*(H81-$B81)+(0.025*$B81))+$C$61+$C$64*H$124</f>
        <v>2473656.7139290278</v>
      </c>
      <c r="I135" s="36">
        <f>I117+(0.01*(I81-$B81)+(0.025*$B81))+$C$61+$C$64*I$124</f>
        <v>3159588.5143305436</v>
      </c>
      <c r="J135" s="36">
        <f>J117+(0.01*(J81-$B81)+(0.025*$B81))+$C$61+$C$64*J$124</f>
        <v>3872871.2734290948</v>
      </c>
      <c r="K135" s="36"/>
      <c r="L135" s="2"/>
      <c r="M135" s="36"/>
      <c r="N135" s="36"/>
      <c r="O135" s="36"/>
      <c r="R135" s="9"/>
      <c r="AE135" s="8"/>
      <c r="AF135" s="36"/>
      <c r="AG135" s="36"/>
      <c r="AH135" s="36"/>
      <c r="AI135" s="36"/>
      <c r="AJ135" s="36"/>
      <c r="AK135" s="36"/>
      <c r="AL135" s="36"/>
      <c r="AM135" s="36"/>
      <c r="AN135" s="36"/>
      <c r="AO135" s="9"/>
    </row>
    <row r="136" spans="1:41" x14ac:dyDescent="0.25">
      <c r="A136" s="3" t="s">
        <v>36</v>
      </c>
      <c r="B136" s="36">
        <f>B118+B82*0.025</f>
        <v>274019.42891108012</v>
      </c>
      <c r="C136" s="36">
        <f>C118+(0.01*(C82-$B82)+(0.025*$B82))+$C$61+$C$64*C$124</f>
        <v>626287.7452461319</v>
      </c>
      <c r="D136" s="36">
        <f>D118+(0.01*(D82-$B82)+(0.025*$B82))+$C$61+$C$64*D$124</f>
        <v>917970.59788994805</v>
      </c>
      <c r="E136" s="36">
        <f>E118+(0.01*(E82-$B82)+(0.025*$B82))+$C$61+$C$64*E$124</f>
        <v>1209653.4505337644</v>
      </c>
      <c r="F136" s="36">
        <f>F118+(0.01*(F82-$B82)+(0.025*$B82))+$C$61+$C$64*F$124</f>
        <v>1501336.3031775807</v>
      </c>
      <c r="G136" s="36">
        <f>G118+(0.01*(G82-$B82)+(0.025*$B82))+$C$61+$C$64*G$124</f>
        <v>1820370.1145184324</v>
      </c>
      <c r="H136" s="36">
        <f>H118+(0.01*(H82-$B82)+(0.025*$B82))+$C$61+$C$64*H$124</f>
        <v>2112052.9671622487</v>
      </c>
      <c r="I136" s="36">
        <f>I118+(0.01*(I82-$B82)+(0.025*$B82))+$C$61+$C$64*I$124</f>
        <v>3105683.0529054129</v>
      </c>
      <c r="J136" s="36">
        <f>J118+(0.01*(J82-$B82)+(0.025*$B82))+$C$61+$C$64*J$124</f>
        <v>3818965.8120039646</v>
      </c>
      <c r="K136" s="36"/>
      <c r="L136" s="2"/>
      <c r="M136" s="36"/>
      <c r="N136" s="36"/>
      <c r="O136" s="36"/>
      <c r="R136" s="9"/>
      <c r="AE136" s="8"/>
      <c r="AF136" s="36"/>
      <c r="AG136" s="36"/>
      <c r="AH136" s="36"/>
      <c r="AI136" s="36"/>
      <c r="AJ136" s="36"/>
      <c r="AK136" s="36"/>
      <c r="AL136" s="36"/>
      <c r="AM136" s="36"/>
      <c r="AN136" s="36"/>
      <c r="AO136" s="9"/>
    </row>
    <row r="137" spans="1:41" x14ac:dyDescent="0.25">
      <c r="A137" s="3" t="s">
        <v>37</v>
      </c>
      <c r="B137" s="36">
        <f>B119+B83*0.025</f>
        <v>274019.42891108012</v>
      </c>
      <c r="C137" s="36">
        <f>C119+(0.01*(C83-$B83)+(0.025*$B83))+$C$61+$C$64*C$124</f>
        <v>592099.04687483748</v>
      </c>
      <c r="D137" s="36">
        <f>D119+(0.01*(D83-$B83)+(0.025*$B83))+$C$61+$C$64*D$124</f>
        <v>917970.59788994805</v>
      </c>
      <c r="E137" s="36">
        <f>E119+(0.01*(E83-$B83)+(0.025*$B83))+$C$61+$C$64*E$124</f>
        <v>1209653.4505337644</v>
      </c>
      <c r="F137" s="36">
        <f>F119+(0.01*(F83-$B83)+(0.025*$B83))+$C$61+$C$64*F$124</f>
        <v>1501336.3031775807</v>
      </c>
      <c r="G137" s="36">
        <f>G119+(0.01*(G83-$B83)+(0.025*$B83))+$C$61+$C$64*G$124</f>
        <v>1820370.1145184324</v>
      </c>
      <c r="H137" s="36">
        <f>H119+(0.01*(H83-$B83)+(0.025*$B83))+$C$61+$C$64*H$124</f>
        <v>2112052.9671622487</v>
      </c>
      <c r="I137" s="36">
        <f>I119+(0.01*(I83-$B83)+(0.025*$B83))+$C$61+$C$64*I$124</f>
        <v>2695418.6724498812</v>
      </c>
      <c r="J137" s="36">
        <f>J119+(0.01*(J83-$B83)+(0.025*$B83))+$C$61+$C$64*J$124</f>
        <v>3818965.8120039646</v>
      </c>
      <c r="K137" s="36"/>
      <c r="L137" s="36"/>
      <c r="M137" s="36"/>
      <c r="N137" s="36"/>
      <c r="O137" s="36"/>
      <c r="R137" s="9"/>
      <c r="AE137" s="8"/>
      <c r="AF137" s="36"/>
      <c r="AG137" s="36"/>
      <c r="AH137" s="36"/>
      <c r="AI137" s="36"/>
      <c r="AJ137" s="36"/>
      <c r="AK137" s="36"/>
      <c r="AL137" s="36"/>
      <c r="AM137" s="36"/>
      <c r="AN137" s="36"/>
      <c r="AO137" s="9"/>
    </row>
    <row r="138" spans="1:41" x14ac:dyDescent="0.25">
      <c r="A138" s="3" t="s">
        <v>38</v>
      </c>
      <c r="B138" s="36">
        <f>B120+B84*0.025</f>
        <v>230595.58498528055</v>
      </c>
      <c r="C138" s="36">
        <f>C120+(0.01*(C84-$B84)+(0.025*$B84))+C61+$C$64*C$124</f>
        <v>548675.20294903778</v>
      </c>
      <c r="D138" s="36">
        <f>D120+(0.01*(D84-$B84)+(0.025*$B84))+$C$61+$C$64*D$124</f>
        <v>874546.75396414846</v>
      </c>
      <c r="E138" s="36">
        <f>E120+(0.01*(E84-$B84)+(0.025*$B84))+$C$61+$C$64*E$124</f>
        <v>1166229.6066079647</v>
      </c>
      <c r="F138" s="36">
        <f>F120+(0.01*(F84-$B84)+(0.025*$B84))+$C$61+$C$64*F$124</f>
        <v>1457912.459251781</v>
      </c>
      <c r="G138" s="36">
        <f>G120+(0.01*(G84-$B84)+(0.025*$B84))+$C$61+$C$64*G$124</f>
        <v>1776946.2705926327</v>
      </c>
      <c r="H138" s="36">
        <f>H120+(0.01*(H84-$B84)+(0.025*$B84))+$C$61+$C$64*H$124</f>
        <v>2068629.1232364494</v>
      </c>
      <c r="I138" s="36">
        <f>I120+(0.01*(I84-$B84)+(0.025*$B84))+$C$61+$C$64*I$124</f>
        <v>2651994.8285240815</v>
      </c>
      <c r="J138" s="36">
        <f>J120+(0.01*(J84-$B84)+(0.025*$B84))+$C$61+$C$64*J$124</f>
        <v>3262711.4925087504</v>
      </c>
      <c r="K138" s="36"/>
      <c r="L138" s="36"/>
      <c r="M138" s="36"/>
      <c r="N138" s="36"/>
      <c r="O138" s="36"/>
      <c r="R138" s="9"/>
      <c r="AE138" s="8"/>
      <c r="AF138" s="36"/>
      <c r="AG138" s="36"/>
      <c r="AH138" s="36"/>
      <c r="AI138" s="36"/>
      <c r="AJ138" s="36"/>
      <c r="AK138" s="36"/>
      <c r="AL138" s="36"/>
      <c r="AM138" s="36"/>
      <c r="AN138" s="36"/>
      <c r="AO138" s="9"/>
    </row>
    <row r="139" spans="1:41" ht="16.5" thickBot="1" x14ac:dyDescent="0.3">
      <c r="A139" s="3"/>
      <c r="B139" s="36"/>
      <c r="C139" s="36"/>
      <c r="D139" s="36"/>
      <c r="E139" s="36"/>
      <c r="F139" s="36"/>
      <c r="G139" s="36"/>
      <c r="H139" s="36"/>
      <c r="I139" s="36"/>
      <c r="J139" s="36"/>
      <c r="K139" s="36"/>
      <c r="L139" s="36"/>
      <c r="M139" s="36"/>
      <c r="N139" s="36"/>
      <c r="O139" s="36"/>
      <c r="R139" s="9"/>
      <c r="AE139" s="8"/>
      <c r="AF139" s="36"/>
      <c r="AG139" s="36"/>
      <c r="AH139" s="36"/>
      <c r="AI139" s="36"/>
      <c r="AJ139" s="36"/>
      <c r="AK139" s="36"/>
      <c r="AL139" s="36"/>
      <c r="AM139" s="36"/>
      <c r="AN139" s="36"/>
      <c r="AO139" s="9"/>
    </row>
    <row r="140" spans="1:41" x14ac:dyDescent="0.25">
      <c r="A140" s="3"/>
      <c r="B140" s="41"/>
      <c r="C140" s="42"/>
      <c r="D140" s="42"/>
      <c r="E140" s="42"/>
      <c r="F140" s="42"/>
      <c r="G140" s="42"/>
      <c r="H140" s="43"/>
      <c r="I140" s="36"/>
      <c r="J140" s="36"/>
      <c r="K140" s="36"/>
      <c r="L140" s="36"/>
      <c r="M140" s="36"/>
      <c r="N140" s="36"/>
      <c r="O140" s="36"/>
      <c r="R140" s="9"/>
      <c r="AE140" s="8"/>
      <c r="AF140" s="36"/>
      <c r="AG140" s="36"/>
      <c r="AH140" s="36"/>
      <c r="AI140" s="36"/>
      <c r="AJ140" s="36"/>
      <c r="AK140" s="36"/>
      <c r="AL140" s="36"/>
      <c r="AM140" s="36"/>
      <c r="AN140" s="36"/>
      <c r="AO140" s="9"/>
    </row>
    <row r="141" spans="1:41" ht="15" x14ac:dyDescent="0.2">
      <c r="A141" s="2"/>
      <c r="B141" s="44" t="s">
        <v>42</v>
      </c>
      <c r="E141" s="149" t="s">
        <v>625</v>
      </c>
      <c r="H141" s="45"/>
      <c r="I141" s="36"/>
      <c r="J141" s="36"/>
      <c r="K141" s="36"/>
      <c r="L141" s="36"/>
      <c r="M141" s="36"/>
      <c r="N141" s="36"/>
      <c r="O141" s="36"/>
      <c r="R141" s="9"/>
      <c r="AE141" s="8"/>
      <c r="AF141" s="36"/>
      <c r="AG141" s="36"/>
      <c r="AH141" s="36"/>
      <c r="AI141" s="36"/>
      <c r="AJ141" s="36"/>
      <c r="AK141" s="36"/>
      <c r="AL141" s="36"/>
      <c r="AM141" s="36"/>
      <c r="AN141" s="36"/>
      <c r="AO141" s="9"/>
    </row>
    <row r="142" spans="1:41" ht="15" x14ac:dyDescent="0.2">
      <c r="A142" s="4"/>
      <c r="B142" s="46"/>
      <c r="E142" s="15" t="s">
        <v>626</v>
      </c>
      <c r="H142" s="45"/>
      <c r="I142" s="36"/>
      <c r="J142" s="36"/>
      <c r="K142" s="36"/>
      <c r="L142" s="36"/>
      <c r="M142" s="36"/>
      <c r="N142" s="36"/>
      <c r="O142" s="36"/>
      <c r="R142" s="9"/>
      <c r="AE142" s="8"/>
      <c r="AF142" s="36"/>
      <c r="AG142" s="36"/>
      <c r="AH142" s="36"/>
      <c r="AI142" s="36"/>
      <c r="AJ142" s="36"/>
      <c r="AK142" s="36"/>
      <c r="AL142" s="36"/>
      <c r="AM142" s="36"/>
      <c r="AN142" s="36"/>
      <c r="AO142" s="9"/>
    </row>
    <row r="143" spans="1:41" ht="15" x14ac:dyDescent="0.2">
      <c r="A143" s="4"/>
      <c r="B143" s="46"/>
      <c r="E143" s="15" t="str">
        <f>"£" &amp;D64 &amp; " per km is added to all those with a distance greater than 0km"</f>
        <v>£17310 per km is added to all those with a distance greater than 0km</v>
      </c>
      <c r="H143" s="45"/>
      <c r="I143" s="36"/>
      <c r="J143" s="36"/>
      <c r="K143" s="36"/>
      <c r="L143" s="36"/>
      <c r="M143" s="36"/>
      <c r="N143" s="36"/>
      <c r="O143" s="36"/>
      <c r="R143" s="9"/>
      <c r="AE143" s="8"/>
      <c r="AF143" s="36"/>
      <c r="AG143" s="36"/>
      <c r="AH143" s="36"/>
      <c r="AI143" s="36"/>
      <c r="AJ143" s="36"/>
      <c r="AK143" s="36"/>
      <c r="AL143" s="36"/>
      <c r="AM143" s="36"/>
      <c r="AN143" s="36"/>
      <c r="AO143" s="9"/>
    </row>
    <row r="144" spans="1:41" ht="15" x14ac:dyDescent="0.2">
      <c r="A144" s="4"/>
      <c r="B144" s="46"/>
      <c r="E144" s="149" t="str">
        <f>"£" &amp; D61&amp; " is added to all those with a distance greater than 0km"</f>
        <v>£60585 is added to all those with a distance greater than 0km</v>
      </c>
      <c r="H144" s="47"/>
      <c r="I144" s="36"/>
      <c r="J144" s="36"/>
      <c r="K144" s="36"/>
      <c r="L144" s="36"/>
      <c r="M144" s="36"/>
      <c r="N144" s="36"/>
      <c r="O144" s="36"/>
      <c r="R144" s="9"/>
      <c r="AE144" s="8"/>
      <c r="AF144" s="36"/>
      <c r="AG144" s="36"/>
      <c r="AH144" s="36"/>
      <c r="AI144" s="36"/>
      <c r="AJ144" s="36"/>
      <c r="AK144" s="36"/>
      <c r="AL144" s="36"/>
      <c r="AM144" s="36"/>
      <c r="AN144" s="36"/>
      <c r="AO144" s="9"/>
    </row>
    <row r="145" spans="1:41" x14ac:dyDescent="0.25">
      <c r="A145" s="3"/>
      <c r="B145" s="46"/>
      <c r="D145" s="2"/>
      <c r="E145" s="48" t="str">
        <f>"£" &amp; D60 &amp; " is added to all those with a flow rate between 1 and 5 mcmd, inclusive"</f>
        <v>£69241 is added to all those with a flow rate between 1 and 5 mcmd, inclusive</v>
      </c>
      <c r="H145" s="47"/>
      <c r="R145" s="9"/>
      <c r="AE145" s="8"/>
      <c r="AF145" s="36"/>
      <c r="AG145" s="36"/>
      <c r="AH145" s="36"/>
      <c r="AI145" s="36"/>
      <c r="AJ145" s="36"/>
      <c r="AK145" s="36"/>
      <c r="AL145" s="36"/>
      <c r="AM145" s="36"/>
      <c r="AN145" s="36"/>
      <c r="AO145" s="9"/>
    </row>
    <row r="146" spans="1:41" x14ac:dyDescent="0.25">
      <c r="A146" s="3"/>
      <c r="B146" s="46"/>
      <c r="E146" s="48" t="str">
        <f>"£" &amp; D59 &amp; " is added to all those with a flow rate between 7 and 60 mcmd, inclusive"</f>
        <v>£138481 is added to all those with a flow rate between 7 and 60 mcmd, inclusive</v>
      </c>
      <c r="H146" s="47"/>
      <c r="R146" s="9"/>
      <c r="AE146" s="8"/>
      <c r="AF146" s="36"/>
      <c r="AG146" s="36"/>
      <c r="AH146" s="36"/>
      <c r="AI146" s="36"/>
      <c r="AJ146" s="36"/>
      <c r="AK146" s="36"/>
      <c r="AL146" s="36"/>
      <c r="AM146" s="36"/>
      <c r="AN146" s="36"/>
      <c r="AO146" s="9"/>
    </row>
    <row r="147" spans="1:41" ht="16.5" thickBot="1" x14ac:dyDescent="0.3">
      <c r="A147" s="3"/>
      <c r="B147" s="49"/>
      <c r="C147" s="50"/>
      <c r="D147" s="50"/>
      <c r="E147" s="50"/>
      <c r="F147" s="50"/>
      <c r="G147" s="50"/>
      <c r="H147" s="51"/>
      <c r="R147" s="9"/>
      <c r="AE147" s="8"/>
      <c r="AF147" s="36"/>
      <c r="AG147" s="36"/>
      <c r="AH147" s="36"/>
      <c r="AI147" s="36"/>
      <c r="AJ147" s="36"/>
      <c r="AK147" s="36"/>
      <c r="AL147" s="36"/>
      <c r="AM147" s="36"/>
      <c r="AN147" s="36"/>
      <c r="AO147" s="9"/>
    </row>
    <row r="148" spans="1:41" x14ac:dyDescent="0.25">
      <c r="A148" s="3"/>
      <c r="R148" s="9"/>
      <c r="AE148" s="8"/>
      <c r="AF148" s="36"/>
      <c r="AG148" s="36"/>
      <c r="AH148" s="36"/>
      <c r="AI148" s="36"/>
      <c r="AJ148" s="36"/>
      <c r="AK148" s="36"/>
      <c r="AL148" s="36"/>
      <c r="AM148" s="36"/>
      <c r="AN148" s="36"/>
      <c r="AO148" s="9"/>
    </row>
    <row r="149" spans="1:41" x14ac:dyDescent="0.25">
      <c r="A149" s="1" t="s">
        <v>43</v>
      </c>
      <c r="R149" s="9"/>
      <c r="AE149" s="8"/>
      <c r="AF149" s="36"/>
      <c r="AG149" s="36"/>
      <c r="AH149" s="36"/>
      <c r="AI149" s="36"/>
      <c r="AJ149" s="36"/>
      <c r="AK149" s="36"/>
      <c r="AL149" s="36"/>
      <c r="AM149" s="36"/>
      <c r="AN149" s="36"/>
      <c r="AO149" s="9"/>
    </row>
    <row r="150" spans="1:41" ht="16.5" thickBot="1" x14ac:dyDescent="0.3">
      <c r="A150" s="3"/>
      <c r="R150" s="9"/>
      <c r="AE150" s="9"/>
      <c r="AF150" s="9"/>
      <c r="AG150" s="9"/>
      <c r="AH150" s="9"/>
      <c r="AI150" s="9"/>
      <c r="AJ150" s="9"/>
      <c r="AK150" s="9"/>
      <c r="AL150" s="9"/>
      <c r="AM150" s="9"/>
      <c r="AN150" s="9"/>
    </row>
    <row r="151" spans="1:41" x14ac:dyDescent="0.25">
      <c r="A151" s="4"/>
      <c r="C151" s="52" t="s">
        <v>44</v>
      </c>
      <c r="D151" s="53" t="s">
        <v>628</v>
      </c>
      <c r="E151" s="54" t="s">
        <v>45</v>
      </c>
      <c r="F151" s="53" t="s">
        <v>627</v>
      </c>
      <c r="G151" s="55"/>
      <c r="H151" s="56"/>
      <c r="I151" s="9"/>
      <c r="J151" s="9"/>
      <c r="K151" s="9"/>
      <c r="L151" s="9"/>
      <c r="M151" s="9"/>
      <c r="N151" s="9"/>
      <c r="O151" s="9"/>
      <c r="P151" s="9"/>
      <c r="Q151" s="9"/>
    </row>
    <row r="152" spans="1:41" ht="18.75" x14ac:dyDescent="0.25">
      <c r="A152" s="4"/>
      <c r="C152" s="58">
        <v>15</v>
      </c>
      <c r="D152" s="6">
        <f>C152*$H$153</f>
        <v>165000000</v>
      </c>
      <c r="E152" s="7">
        <f t="shared" ref="E152:E165" si="45">LN(D152)</f>
        <v>18.921456031864853</v>
      </c>
      <c r="F152" s="59">
        <f>D152*H$158*365/1000000</f>
        <v>45168.75</v>
      </c>
      <c r="G152" s="17" t="s">
        <v>620</v>
      </c>
      <c r="H152" s="57">
        <v>39.6</v>
      </c>
    </row>
    <row r="153" spans="1:41" x14ac:dyDescent="0.25">
      <c r="A153" s="4"/>
      <c r="C153" s="58">
        <v>12</v>
      </c>
      <c r="D153" s="6">
        <f>C153*$H$153</f>
        <v>132000000</v>
      </c>
      <c r="E153" s="7">
        <f t="shared" si="45"/>
        <v>18.698312480550644</v>
      </c>
      <c r="F153" s="59">
        <f>D153*H$158*365/1000000</f>
        <v>36135</v>
      </c>
      <c r="G153" s="17" t="s">
        <v>619</v>
      </c>
      <c r="H153" s="57">
        <f>H152/3.6*1000000</f>
        <v>11000000</v>
      </c>
      <c r="AE153" s="3"/>
    </row>
    <row r="154" spans="1:41" x14ac:dyDescent="0.25">
      <c r="A154" s="4"/>
      <c r="C154" s="58">
        <v>10</v>
      </c>
      <c r="D154" s="6">
        <f>C154*$H$153</f>
        <v>110000000</v>
      </c>
      <c r="E154" s="7">
        <f t="shared" si="45"/>
        <v>18.515990923756689</v>
      </c>
      <c r="F154" s="59">
        <f>D154*H$158*365/1000000</f>
        <v>30112.5</v>
      </c>
      <c r="H154" s="47"/>
      <c r="J154" s="15"/>
    </row>
    <row r="155" spans="1:41" x14ac:dyDescent="0.25">
      <c r="A155" s="4"/>
      <c r="C155" s="58">
        <v>7</v>
      </c>
      <c r="D155" s="6">
        <f>C155*$H$153</f>
        <v>77000000</v>
      </c>
      <c r="E155" s="7">
        <f t="shared" si="45"/>
        <v>18.159315979817958</v>
      </c>
      <c r="F155" s="59">
        <f>D155*H$158*365/1000000</f>
        <v>21078.75</v>
      </c>
      <c r="H155" s="47"/>
      <c r="J155" s="15"/>
    </row>
    <row r="156" spans="1:41" x14ac:dyDescent="0.25">
      <c r="A156" s="4"/>
      <c r="C156" s="58">
        <v>5</v>
      </c>
      <c r="D156" s="6">
        <f>C156*$H$153</f>
        <v>55000000</v>
      </c>
      <c r="E156" s="7">
        <f t="shared" si="45"/>
        <v>17.822843743196746</v>
      </c>
      <c r="F156" s="59">
        <f>D156*H$158*365/1000000</f>
        <v>15056.25</v>
      </c>
      <c r="H156" s="47"/>
      <c r="J156" s="60"/>
    </row>
    <row r="157" spans="1:41" x14ac:dyDescent="0.25">
      <c r="A157" s="4"/>
      <c r="C157" s="58">
        <v>4</v>
      </c>
      <c r="D157" s="6">
        <f>C157*$H$153</f>
        <v>44000000</v>
      </c>
      <c r="E157" s="7">
        <f t="shared" si="45"/>
        <v>17.599700191882537</v>
      </c>
      <c r="F157" s="59">
        <f>D157*H$158*365/1000000</f>
        <v>12045</v>
      </c>
      <c r="H157" s="47"/>
      <c r="J157" s="61"/>
      <c r="AE157" s="8"/>
      <c r="AF157" s="8"/>
      <c r="AG157" s="8"/>
      <c r="AH157" s="8"/>
      <c r="AI157" s="8"/>
      <c r="AJ157" s="8"/>
      <c r="AK157" s="8"/>
      <c r="AL157" s="8"/>
      <c r="AM157" s="8"/>
      <c r="AN157" s="8"/>
      <c r="AO157" s="9"/>
    </row>
    <row r="158" spans="1:41" x14ac:dyDescent="0.25">
      <c r="A158" s="4"/>
      <c r="C158" s="58">
        <v>3</v>
      </c>
      <c r="D158" s="6">
        <f>C158*$H$153</f>
        <v>33000000</v>
      </c>
      <c r="E158" s="7">
        <f t="shared" si="45"/>
        <v>17.312018119430753</v>
      </c>
      <c r="F158" s="59">
        <f>D158*H$158*365/1000000</f>
        <v>9033.75</v>
      </c>
      <c r="G158" s="8" t="s">
        <v>46</v>
      </c>
      <c r="H158" s="62">
        <v>0.75</v>
      </c>
      <c r="AE158" s="3"/>
      <c r="AF158" s="8"/>
      <c r="AG158" s="8"/>
      <c r="AH158" s="8"/>
      <c r="AI158" s="8"/>
      <c r="AJ158" s="8"/>
      <c r="AK158" s="8"/>
      <c r="AL158" s="8"/>
      <c r="AM158" s="8"/>
      <c r="AN158" s="8"/>
      <c r="AO158" s="9"/>
    </row>
    <row r="159" spans="1:41" x14ac:dyDescent="0.25">
      <c r="A159" s="4"/>
      <c r="C159" s="58">
        <v>2</v>
      </c>
      <c r="D159" s="6">
        <f>C159*$H$153</f>
        <v>22000000</v>
      </c>
      <c r="E159" s="7">
        <f t="shared" si="45"/>
        <v>16.90655301132259</v>
      </c>
      <c r="F159" s="59">
        <f>D159*H$158*365/1000000</f>
        <v>6022.5</v>
      </c>
      <c r="H159" s="47"/>
      <c r="AE159" s="8"/>
      <c r="AF159" s="36"/>
      <c r="AG159" s="36"/>
      <c r="AH159" s="36"/>
      <c r="AI159" s="36"/>
      <c r="AJ159" s="36"/>
      <c r="AK159" s="36"/>
      <c r="AL159" s="36"/>
      <c r="AM159" s="36"/>
      <c r="AN159" s="36"/>
      <c r="AO159" s="9"/>
    </row>
    <row r="160" spans="1:41" x14ac:dyDescent="0.25">
      <c r="A160" s="4"/>
      <c r="C160" s="58">
        <v>1</v>
      </c>
      <c r="D160" s="6">
        <f>C160*$H$153</f>
        <v>11000000</v>
      </c>
      <c r="E160" s="7">
        <f t="shared" si="45"/>
        <v>16.213405830762646</v>
      </c>
      <c r="F160" s="59">
        <f>D160*H$158*365/1000000</f>
        <v>3011.25</v>
      </c>
      <c r="H160" s="47"/>
      <c r="AE160" s="8"/>
      <c r="AF160" s="36"/>
      <c r="AG160" s="36"/>
      <c r="AH160" s="36"/>
      <c r="AI160" s="36"/>
      <c r="AJ160" s="36"/>
      <c r="AK160" s="36"/>
      <c r="AL160" s="36"/>
      <c r="AM160" s="36"/>
      <c r="AN160" s="36"/>
      <c r="AO160" s="9"/>
    </row>
    <row r="161" spans="1:41" x14ac:dyDescent="0.25">
      <c r="A161" s="4"/>
      <c r="C161" s="58">
        <v>0.5</v>
      </c>
      <c r="D161" s="6">
        <f>C161*$H$153</f>
        <v>5500000</v>
      </c>
      <c r="E161" s="7">
        <f t="shared" si="45"/>
        <v>15.520258650202699</v>
      </c>
      <c r="F161" s="59">
        <f>D161*H$158*365/1000000</f>
        <v>1505.625</v>
      </c>
      <c r="H161" s="47"/>
      <c r="AE161" s="8"/>
      <c r="AF161" s="36"/>
      <c r="AG161" s="36"/>
      <c r="AH161" s="36"/>
      <c r="AI161" s="36"/>
      <c r="AJ161" s="36"/>
      <c r="AK161" s="36"/>
      <c r="AL161" s="36"/>
      <c r="AM161" s="36"/>
      <c r="AN161" s="36"/>
      <c r="AO161" s="9"/>
    </row>
    <row r="162" spans="1:41" x14ac:dyDescent="0.25">
      <c r="A162" s="4"/>
      <c r="C162" s="58">
        <v>0.4</v>
      </c>
      <c r="D162" s="6">
        <f>C162*$H$153</f>
        <v>4400000</v>
      </c>
      <c r="E162" s="7">
        <f t="shared" si="45"/>
        <v>15.29711509888849</v>
      </c>
      <c r="F162" s="59">
        <f>D162*H$158*365/1000000</f>
        <v>1204.5</v>
      </c>
      <c r="H162" s="47"/>
      <c r="AE162" s="8"/>
      <c r="AF162" s="36"/>
      <c r="AG162" s="36"/>
      <c r="AH162" s="36"/>
      <c r="AI162" s="36"/>
      <c r="AJ162" s="36"/>
      <c r="AK162" s="36"/>
      <c r="AL162" s="36"/>
      <c r="AM162" s="36"/>
      <c r="AN162" s="36"/>
      <c r="AO162" s="9"/>
    </row>
    <row r="163" spans="1:41" x14ac:dyDescent="0.25">
      <c r="A163" s="4"/>
      <c r="C163" s="58">
        <v>0.3</v>
      </c>
      <c r="D163" s="6">
        <f>C163*$H$153</f>
        <v>3300000</v>
      </c>
      <c r="E163" s="7">
        <f t="shared" si="45"/>
        <v>15.009433026436708</v>
      </c>
      <c r="F163" s="59">
        <f>D163*H$158*365/1000000</f>
        <v>903.375</v>
      </c>
      <c r="H163" s="47"/>
      <c r="AE163" s="8"/>
      <c r="AF163" s="36"/>
      <c r="AG163" s="36"/>
      <c r="AH163" s="36"/>
      <c r="AI163" s="36"/>
      <c r="AJ163" s="36"/>
      <c r="AK163" s="36"/>
      <c r="AL163" s="36"/>
      <c r="AM163" s="36"/>
      <c r="AN163" s="36"/>
      <c r="AO163" s="9"/>
    </row>
    <row r="164" spans="1:41" x14ac:dyDescent="0.25">
      <c r="A164" s="4"/>
      <c r="C164" s="58">
        <v>0.2</v>
      </c>
      <c r="D164" s="6">
        <f>C164*$H$153</f>
        <v>2200000</v>
      </c>
      <c r="E164" s="7">
        <f t="shared" si="45"/>
        <v>14.603967918328545</v>
      </c>
      <c r="F164" s="59">
        <f>D164*H$158*365/1000000</f>
        <v>602.25</v>
      </c>
      <c r="H164" s="47"/>
      <c r="AE164" s="8"/>
      <c r="AF164" s="36"/>
      <c r="AG164" s="36"/>
      <c r="AH164" s="36"/>
      <c r="AI164" s="36"/>
      <c r="AJ164" s="36"/>
      <c r="AK164" s="36"/>
      <c r="AL164" s="36"/>
      <c r="AM164" s="36"/>
      <c r="AN164" s="36"/>
      <c r="AO164" s="9"/>
    </row>
    <row r="165" spans="1:41" ht="16.5" thickBot="1" x14ac:dyDescent="0.3">
      <c r="A165" s="4"/>
      <c r="C165" s="63">
        <v>0.1</v>
      </c>
      <c r="D165" s="64">
        <f>C165*$H$153</f>
        <v>1100000</v>
      </c>
      <c r="E165" s="65">
        <f t="shared" si="45"/>
        <v>13.910820737768599</v>
      </c>
      <c r="F165" s="66">
        <f>D165*H$158*365/1000000</f>
        <v>301.125</v>
      </c>
      <c r="G165" s="67"/>
      <c r="H165" s="68"/>
      <c r="AE165" s="8"/>
      <c r="AF165" s="36"/>
      <c r="AG165" s="36"/>
      <c r="AH165" s="36"/>
      <c r="AI165" s="36"/>
      <c r="AJ165" s="36"/>
      <c r="AK165" s="36"/>
      <c r="AL165" s="36"/>
      <c r="AM165" s="36"/>
      <c r="AN165" s="36"/>
      <c r="AO165" s="9"/>
    </row>
    <row r="166" spans="1:41" x14ac:dyDescent="0.25">
      <c r="A166" s="4"/>
      <c r="B166" s="3"/>
      <c r="C166" s="6"/>
      <c r="D166" s="7"/>
      <c r="E166" s="59"/>
      <c r="F166" s="59"/>
      <c r="AE166" s="8"/>
      <c r="AF166" s="36"/>
      <c r="AG166" s="36"/>
      <c r="AH166" s="36"/>
      <c r="AI166" s="36"/>
      <c r="AJ166" s="36"/>
      <c r="AK166" s="36"/>
      <c r="AL166" s="36"/>
      <c r="AM166" s="36"/>
      <c r="AN166" s="36"/>
      <c r="AO166" s="9"/>
    </row>
    <row r="167" spans="1:41" x14ac:dyDescent="0.25">
      <c r="A167" s="4"/>
      <c r="B167" s="3"/>
      <c r="C167" s="6"/>
      <c r="D167" s="7"/>
      <c r="E167" s="59"/>
      <c r="F167" s="59"/>
      <c r="AE167" s="8"/>
      <c r="AF167" s="36"/>
      <c r="AG167" s="36"/>
      <c r="AH167" s="36"/>
      <c r="AI167" s="36"/>
      <c r="AJ167" s="36"/>
      <c r="AK167" s="36"/>
      <c r="AL167" s="36"/>
      <c r="AM167" s="36"/>
      <c r="AN167" s="36"/>
      <c r="AO167" s="9"/>
    </row>
    <row r="168" spans="1:41" x14ac:dyDescent="0.25">
      <c r="A168" s="1" t="s">
        <v>47</v>
      </c>
      <c r="B168" s="6"/>
      <c r="C168" s="59"/>
      <c r="D168" s="59"/>
      <c r="AE168" s="8"/>
      <c r="AF168" s="36"/>
      <c r="AG168" s="36"/>
      <c r="AH168" s="36"/>
      <c r="AI168" s="36"/>
      <c r="AJ168" s="36"/>
      <c r="AK168" s="36"/>
      <c r="AL168" s="36"/>
      <c r="AM168" s="36"/>
      <c r="AN168" s="36"/>
      <c r="AO168" s="9"/>
    </row>
    <row r="169" spans="1:41" x14ac:dyDescent="0.25">
      <c r="B169" s="25"/>
      <c r="C169" s="25"/>
      <c r="D169" s="3" t="s">
        <v>48</v>
      </c>
      <c r="E169" s="25"/>
      <c r="F169" s="25"/>
      <c r="G169" s="25"/>
      <c r="H169" s="25"/>
      <c r="I169" s="25"/>
      <c r="J169" s="25"/>
      <c r="K169" s="25"/>
      <c r="L169" s="25"/>
      <c r="M169" s="25"/>
      <c r="N169" s="25"/>
      <c r="O169" s="25"/>
      <c r="P169" s="3"/>
      <c r="Q169" s="25"/>
      <c r="R169" s="8"/>
      <c r="AE169" s="8"/>
      <c r="AF169" s="36"/>
      <c r="AG169" s="36"/>
      <c r="AH169" s="36"/>
      <c r="AI169" s="36"/>
      <c r="AJ169" s="36"/>
      <c r="AK169" s="36"/>
      <c r="AL169" s="36"/>
      <c r="AM169" s="36"/>
      <c r="AN169" s="36"/>
      <c r="AO169" s="9"/>
    </row>
    <row r="170" spans="1:41" x14ac:dyDescent="0.25">
      <c r="A170" s="3" t="s">
        <v>24</v>
      </c>
      <c r="B170" s="3" t="s">
        <v>49</v>
      </c>
      <c r="C170" s="3" t="s">
        <v>3</v>
      </c>
      <c r="D170" s="3" t="s">
        <v>4</v>
      </c>
      <c r="E170" s="3" t="s">
        <v>5</v>
      </c>
      <c r="F170" s="3" t="s">
        <v>6</v>
      </c>
      <c r="G170" s="3" t="s">
        <v>7</v>
      </c>
      <c r="H170" s="3" t="s">
        <v>8</v>
      </c>
      <c r="I170" s="3" t="s">
        <v>9</v>
      </c>
      <c r="J170" s="3" t="s">
        <v>50</v>
      </c>
      <c r="K170" s="3"/>
      <c r="L170" s="3"/>
      <c r="M170" s="3"/>
      <c r="N170" s="3"/>
      <c r="O170" s="3"/>
      <c r="P170" s="3"/>
      <c r="Q170" s="3"/>
      <c r="R170" s="8"/>
      <c r="AE170" s="8"/>
      <c r="AF170" s="36"/>
      <c r="AG170" s="36"/>
      <c r="AH170" s="36"/>
      <c r="AI170" s="36"/>
      <c r="AJ170" s="36"/>
      <c r="AK170" s="36"/>
      <c r="AL170" s="36"/>
      <c r="AM170" s="36"/>
      <c r="AN170" s="36"/>
      <c r="AO170" s="9"/>
    </row>
    <row r="171" spans="1:41" x14ac:dyDescent="0.25">
      <c r="A171" s="3" t="s">
        <v>25</v>
      </c>
      <c r="B171" s="69">
        <f>B125/$F152/1000000*100</f>
        <v>2.6437076063454343E-3</v>
      </c>
      <c r="C171" s="69">
        <f>C125/$F152/1000000*100</f>
        <v>4.0442680446565781E-3</v>
      </c>
      <c r="D171" s="69">
        <f>D125/$F152/1000000*100</f>
        <v>5.3106971118511079E-3</v>
      </c>
      <c r="E171" s="69">
        <f>E125/$F152/1000000*100</f>
        <v>6.5771261790456411E-3</v>
      </c>
      <c r="F171" s="69">
        <f>F125/$F152/1000000*100</f>
        <v>7.8435552462401709E-3</v>
      </c>
      <c r="G171" s="69">
        <f>G125/$F152/1000000*100</f>
        <v>1.0063691466008787E-2</v>
      </c>
      <c r="H171" s="69">
        <f>H125/$F152/1000000*100</f>
        <v>1.1508751396701322E-2</v>
      </c>
      <c r="I171" s="69">
        <f>I125/$F152/1000000*100</f>
        <v>1.439887125808639E-2</v>
      </c>
      <c r="J171" s="69">
        <f>J125/$F152/1000000*100</f>
        <v>1.7349543954555523E-2</v>
      </c>
      <c r="K171" s="69"/>
      <c r="L171" s="69"/>
      <c r="M171" s="69"/>
      <c r="N171" s="69"/>
      <c r="O171" s="69"/>
      <c r="AE171" s="8"/>
      <c r="AF171" s="36"/>
      <c r="AG171" s="36"/>
      <c r="AH171" s="36"/>
      <c r="AI171" s="36"/>
      <c r="AJ171" s="36"/>
      <c r="AK171" s="36"/>
      <c r="AL171" s="36"/>
      <c r="AM171" s="36"/>
      <c r="AN171" s="36"/>
      <c r="AO171" s="9"/>
    </row>
    <row r="172" spans="1:41" x14ac:dyDescent="0.25">
      <c r="A172" s="3" t="s">
        <v>26</v>
      </c>
      <c r="B172" s="69">
        <f>B126/$F153/1000000*100</f>
        <v>2.9772717284947039E-3</v>
      </c>
      <c r="C172" s="69">
        <f>C126/$F153/1000000*100</f>
        <v>4.2880180839759453E-3</v>
      </c>
      <c r="D172" s="69">
        <f>D126/$F153/1000000*100</f>
        <v>6.3110086103767976E-3</v>
      </c>
      <c r="E172" s="69">
        <f>E126/$F153/1000000*100</f>
        <v>7.8940449443699618E-3</v>
      </c>
      <c r="F172" s="69">
        <f>F126/$F153/1000000*100</f>
        <v>9.4770812783631225E-3</v>
      </c>
      <c r="G172" s="69">
        <f>G126/$F153/1000000*100</f>
        <v>1.1135808656211374E-2</v>
      </c>
      <c r="H172" s="69">
        <f>H126/$F153/1000000*100</f>
        <v>1.2718844990204536E-2</v>
      </c>
      <c r="I172" s="69">
        <f>I126/$F153/1000000*100</f>
        <v>1.7671226293170899E-2</v>
      </c>
      <c r="J172" s="69">
        <f>J126/$F153/1000000*100</f>
        <v>2.1359567163757316E-2</v>
      </c>
      <c r="K172" s="69"/>
      <c r="L172" s="69"/>
      <c r="M172" s="69"/>
      <c r="N172" s="69"/>
      <c r="O172" s="69"/>
      <c r="AE172" s="8"/>
      <c r="AF172" s="36"/>
      <c r="AG172" s="36"/>
      <c r="AH172" s="36"/>
      <c r="AI172" s="36"/>
      <c r="AJ172" s="36"/>
      <c r="AK172" s="36"/>
      <c r="AL172" s="36"/>
      <c r="AM172" s="36"/>
      <c r="AN172" s="36"/>
      <c r="AO172" s="9"/>
    </row>
    <row r="173" spans="1:41" x14ac:dyDescent="0.25">
      <c r="A173" s="3" t="s">
        <v>27</v>
      </c>
      <c r="B173" s="69">
        <f>B127/$F154/1000000*100</f>
        <v>3.37382210694073E-3</v>
      </c>
      <c r="C173" s="69">
        <f>C127/$F154/1000000*100</f>
        <v>4.9467177335182182E-3</v>
      </c>
      <c r="D173" s="69">
        <f>D127/$F154/1000000*100</f>
        <v>6.3184163034207888E-3</v>
      </c>
      <c r="E173" s="69">
        <f>E127/$F154/1000000*100</f>
        <v>9.273949965991039E-3</v>
      </c>
      <c r="F173" s="69">
        <f>F127/$F154/1000000*100</f>
        <v>1.1173593566782837E-2</v>
      </c>
      <c r="G173" s="69">
        <f>G127/$F154/1000000*100</f>
        <v>1.3164066420200734E-2</v>
      </c>
      <c r="H173" s="69">
        <f>H127/$F154/1000000*100</f>
        <v>1.5063710020992528E-2</v>
      </c>
      <c r="I173" s="69">
        <f>I127/$F154/1000000*100</f>
        <v>1.886299722257612E-2</v>
      </c>
      <c r="J173" s="69">
        <f>J127/$F154/1000000*100</f>
        <v>2.5432576629255868E-2</v>
      </c>
      <c r="K173" s="69"/>
      <c r="L173" s="69"/>
      <c r="M173" s="69"/>
      <c r="N173" s="69"/>
      <c r="O173" s="69"/>
      <c r="AE173" s="8"/>
      <c r="AF173" s="36"/>
      <c r="AG173" s="36"/>
      <c r="AH173" s="36"/>
      <c r="AI173" s="36"/>
      <c r="AJ173" s="36"/>
      <c r="AK173" s="36"/>
      <c r="AL173" s="36"/>
      <c r="AM173" s="36"/>
      <c r="AN173" s="36"/>
      <c r="AO173" s="9"/>
    </row>
    <row r="174" spans="1:41" x14ac:dyDescent="0.25">
      <c r="A174" s="3" t="s">
        <v>28</v>
      </c>
      <c r="B174" s="69">
        <f>B128/$F155/1000000*100</f>
        <v>4.393523080087656E-3</v>
      </c>
      <c r="C174" s="69">
        <f>C128/$F155/1000000*100</f>
        <v>6.6405168323412089E-3</v>
      </c>
      <c r="D174" s="69">
        <f>D128/$F155/1000000*100</f>
        <v>8.6000862179163081E-3</v>
      </c>
      <c r="E174" s="69">
        <f>E128/$F155/1000000*100</f>
        <v>1.0559655603491409E-2</v>
      </c>
      <c r="F174" s="69">
        <f>F128/$F155/1000000*100</f>
        <v>1.2519224989066506E-2</v>
      </c>
      <c r="G174" s="69">
        <f>G128/$F155/1000000*100</f>
        <v>1.8379586384744802E-2</v>
      </c>
      <c r="H174" s="69">
        <f>H128/$F155/1000000*100</f>
        <v>2.1093362957304511E-2</v>
      </c>
      <c r="I174" s="69">
        <f>I128/$F155/1000000*100</f>
        <v>2.6520916102423922E-2</v>
      </c>
      <c r="J174" s="69">
        <f>J128/$F155/1000000*100</f>
        <v>3.2078225322723496E-2</v>
      </c>
      <c r="K174" s="69"/>
      <c r="L174" s="69"/>
      <c r="M174" s="69"/>
      <c r="N174" s="69"/>
      <c r="O174" s="69"/>
      <c r="AE174" s="9"/>
      <c r="AF174" s="9"/>
      <c r="AG174" s="9"/>
      <c r="AH174" s="9"/>
      <c r="AI174" s="9"/>
      <c r="AJ174" s="9"/>
      <c r="AK174" s="9"/>
      <c r="AL174" s="9"/>
      <c r="AM174" s="9"/>
      <c r="AN174" s="9"/>
    </row>
    <row r="175" spans="1:41" x14ac:dyDescent="0.25">
      <c r="A175" s="3" t="s">
        <v>29</v>
      </c>
      <c r="B175" s="69">
        <f>B129/$F156/1000000*100</f>
        <v>5.6910533254371856E-3</v>
      </c>
      <c r="C175" s="69">
        <f>C129/$F156/1000000*100</f>
        <v>8.8368445785921637E-3</v>
      </c>
      <c r="D175" s="69">
        <f>D129/$F156/1000000*100</f>
        <v>1.1580241718397302E-2</v>
      </c>
      <c r="E175" s="69">
        <f>E129/$F156/1000000*100</f>
        <v>1.4323638858202438E-2</v>
      </c>
      <c r="F175" s="69">
        <f>F129/$F156/1000000*100</f>
        <v>1.7067035998007574E-2</v>
      </c>
      <c r="G175" s="69">
        <f>G129/$F156/1000000*100</f>
        <v>1.9992091643064921E-2</v>
      </c>
      <c r="H175" s="69">
        <f>H129/$F156/1000000*100</f>
        <v>2.2735488782870062E-2</v>
      </c>
      <c r="I175" s="69">
        <f>I129/$F156/1000000*100</f>
        <v>3.6669403556707968E-2</v>
      </c>
      <c r="J175" s="69">
        <f>J129/$F156/1000000*100</f>
        <v>4.4449636465127361E-2</v>
      </c>
      <c r="K175" s="69"/>
      <c r="L175" s="69"/>
      <c r="M175" s="69"/>
      <c r="N175" s="69"/>
      <c r="O175" s="69"/>
    </row>
    <row r="176" spans="1:41" x14ac:dyDescent="0.25">
      <c r="A176" s="3" t="s">
        <v>30</v>
      </c>
      <c r="B176" s="69">
        <f>B130/$F157/1000000*100</f>
        <v>6.2311803021116736E-3</v>
      </c>
      <c r="C176" s="69">
        <f>C130/$F157/1000000*100</f>
        <v>9.7518493175933647E-3</v>
      </c>
      <c r="D176" s="69">
        <f>D130/$F157/1000000*100</f>
        <v>1.3592665793311819E-2</v>
      </c>
      <c r="E176" s="69">
        <f>E130/$F157/1000000*100</f>
        <v>1.7021912218068244E-2</v>
      </c>
      <c r="F176" s="69">
        <f>F130/$F157/1000000*100</f>
        <v>2.0451158642824666E-2</v>
      </c>
      <c r="G176" s="69">
        <f>G130/$F157/1000000*100</f>
        <v>2.410747819914634E-2</v>
      </c>
      <c r="H176" s="69">
        <f>H130/$F157/1000000*100</f>
        <v>2.7536724623902765E-2</v>
      </c>
      <c r="I176" s="69">
        <f>I130/$F157/1000000*100</f>
        <v>3.4395217473415611E-2</v>
      </c>
      <c r="J176" s="69">
        <f>J130/$F157/1000000*100</f>
        <v>5.4679409226724381E-2</v>
      </c>
      <c r="K176" s="69"/>
      <c r="L176" s="69"/>
      <c r="M176" s="69"/>
      <c r="N176" s="69"/>
      <c r="O176" s="69"/>
    </row>
    <row r="177" spans="1:41" x14ac:dyDescent="0.25">
      <c r="A177" s="3" t="s">
        <v>31</v>
      </c>
      <c r="B177" s="69">
        <f>B131/$F158/1000000*100</f>
        <v>7.1976932523201238E-3</v>
      </c>
      <c r="C177" s="69">
        <f>C131/$F158/1000000*100</f>
        <v>1.1891918606295713E-2</v>
      </c>
      <c r="D177" s="69">
        <f>D131/$F158/1000000*100</f>
        <v>1.5915487104688233E-2</v>
      </c>
      <c r="E177" s="69">
        <f>E131/$F158/1000000*100</f>
        <v>1.9939055603080756E-2</v>
      </c>
      <c r="F177" s="69">
        <f>F131/$F158/1000000*100</f>
        <v>2.6157664373270773E-2</v>
      </c>
      <c r="G177" s="69">
        <f>G131/$F158/1000000*100</f>
        <v>3.1032757115033015E-2</v>
      </c>
      <c r="H177" s="69">
        <f>H131/$F158/1000000*100</f>
        <v>3.5605085681374916E-2</v>
      </c>
      <c r="I177" s="69">
        <f>I131/$F158/1000000*100</f>
        <v>4.4749742814058704E-2</v>
      </c>
      <c r="J177" s="69">
        <f>J131/$F158/1000000*100</f>
        <v>5.4197164122162848E-2</v>
      </c>
      <c r="K177" s="69"/>
      <c r="L177" s="69"/>
      <c r="M177" s="69"/>
      <c r="N177" s="69"/>
      <c r="O177" s="69"/>
      <c r="AE177" s="3"/>
    </row>
    <row r="178" spans="1:41" x14ac:dyDescent="0.25">
      <c r="A178" s="3" t="s">
        <v>32</v>
      </c>
      <c r="B178" s="69">
        <f>B132/$F159/1000000*100</f>
        <v>1.0622498907133888E-2</v>
      </c>
      <c r="C178" s="69">
        <f>C132/$F159/1000000*100</f>
        <v>1.7323227240749379E-2</v>
      </c>
      <c r="D178" s="69">
        <f>D132/$F159/1000000*100</f>
        <v>2.3017970290990272E-2</v>
      </c>
      <c r="E178" s="69">
        <f>E132/$F159/1000000*100</f>
        <v>2.9734542433274828E-2</v>
      </c>
      <c r="F178" s="69">
        <f>F132/$F159/1000000*100</f>
        <v>3.5769895180863612E-2</v>
      </c>
      <c r="G178" s="69">
        <f>G132/$F159/1000000*100</f>
        <v>4.2259394191582908E-2</v>
      </c>
      <c r="H178" s="69">
        <f>H132/$F159/1000000*100</f>
        <v>4.8294746939171691E-2</v>
      </c>
      <c r="I178" s="69">
        <f>I132/$F159/1000000*100</f>
        <v>6.0365452434349258E-2</v>
      </c>
      <c r="J178" s="69">
        <f>J132/$F159/1000000*100</f>
        <v>8.1121705211897974E-2</v>
      </c>
      <c r="K178" s="69"/>
      <c r="L178" s="69"/>
      <c r="M178" s="69"/>
      <c r="N178" s="69"/>
      <c r="O178" s="69"/>
    </row>
    <row r="179" spans="1:41" x14ac:dyDescent="0.25">
      <c r="A179" s="3" t="s">
        <v>33</v>
      </c>
      <c r="B179" s="69">
        <f>B133/$F160/1000000*100</f>
        <v>1.7266918469209486E-2</v>
      </c>
      <c r="C179" s="69">
        <f>C133/$F160/1000000*100</f>
        <v>2.8965326649701036E-2</v>
      </c>
      <c r="D179" s="69">
        <f>D133/$F160/1000000*100</f>
        <v>4.2057861236922262E-2</v>
      </c>
      <c r="E179" s="69">
        <f>E133/$F160/1000000*100</f>
        <v>5.3447347337404041E-2</v>
      </c>
      <c r="F179" s="69">
        <f>F133/$F160/1000000*100</f>
        <v>6.4836833437885821E-2</v>
      </c>
      <c r="G179" s="69">
        <f>G133/$F160/1000000*100</f>
        <v>7.7134612064628655E-2</v>
      </c>
      <c r="H179" s="69">
        <f>H133/$F160/1000000*100</f>
        <v>8.8524098165110421E-2</v>
      </c>
      <c r="I179" s="69">
        <f>I133/$F160/1000000*100</f>
        <v>0.11130307036607401</v>
      </c>
      <c r="J179" s="69">
        <f>J133/$F160/1000000*100</f>
        <v>0.14180252904025639</v>
      </c>
      <c r="K179" s="69"/>
      <c r="L179" s="69"/>
      <c r="M179" s="69"/>
      <c r="N179" s="69"/>
      <c r="O179" s="69"/>
    </row>
    <row r="180" spans="1:41" x14ac:dyDescent="0.25">
      <c r="A180" s="3" t="s">
        <v>34</v>
      </c>
      <c r="B180" s="69">
        <f>B134/$F161/1000000*100</f>
        <v>2.1779984414194146E-2</v>
      </c>
      <c r="C180" s="69">
        <f>C134/$F161/1000000*100</f>
        <v>4.5176800775177252E-2</v>
      </c>
      <c r="D180" s="69">
        <f>D134/$F161/1000000*100</f>
        <v>7.1361869949619697E-2</v>
      </c>
      <c r="E180" s="69">
        <f>E134/$F161/1000000*100</f>
        <v>9.4140842150583257E-2</v>
      </c>
      <c r="F180" s="69">
        <f>F134/$F161/1000000*100</f>
        <v>0.11691981435154682</v>
      </c>
      <c r="G180" s="69">
        <f>G134/$F161/1000000*100</f>
        <v>0.14151537160503247</v>
      </c>
      <c r="H180" s="69">
        <f>H134/$F161/1000000*100</f>
        <v>0.16429434380599603</v>
      </c>
      <c r="I180" s="69">
        <f>I134/$F161/1000000*100</f>
        <v>0.2098522882079232</v>
      </c>
      <c r="J180" s="69">
        <f>J134/$F161/1000000*100</f>
        <v>0.27085120555628794</v>
      </c>
      <c r="K180" s="69"/>
      <c r="L180" s="69"/>
      <c r="M180" s="69"/>
      <c r="N180" s="69"/>
      <c r="O180" s="69"/>
    </row>
    <row r="181" spans="1:41" x14ac:dyDescent="0.25">
      <c r="A181" s="3" t="s">
        <v>35</v>
      </c>
      <c r="B181" s="69">
        <f>B135/$F162/1000000*100</f>
        <v>2.7224980517742685E-2</v>
      </c>
      <c r="C181" s="69">
        <f>C135/$F162/1000000*100</f>
        <v>5.6471000968971556E-2</v>
      </c>
      <c r="D181" s="69">
        <f>D135/$F162/1000000*100</f>
        <v>8.0687095003327408E-2</v>
      </c>
      <c r="E181" s="69">
        <f>E135/$F162/1000000*100</f>
        <v>0.10490318903768328</v>
      </c>
      <c r="F181" s="69">
        <f>F135/$F162/1000000*100</f>
        <v>0.14614976793943352</v>
      </c>
      <c r="G181" s="69">
        <f>G135/$F162/1000000*100</f>
        <v>0.17689421450629059</v>
      </c>
      <c r="H181" s="69">
        <f>H135/$F162/1000000*100</f>
        <v>0.20536792975749504</v>
      </c>
      <c r="I181" s="69">
        <f>I135/$F162/1000000*100</f>
        <v>0.26231536025990398</v>
      </c>
      <c r="J181" s="69">
        <f>J135/$F162/1000000*100</f>
        <v>0.32153352207796554</v>
      </c>
      <c r="K181" s="69"/>
      <c r="L181" s="69"/>
      <c r="M181" s="69"/>
      <c r="N181" s="69"/>
      <c r="O181" s="69"/>
      <c r="AE181" s="8"/>
      <c r="AF181" s="8"/>
      <c r="AG181" s="8"/>
      <c r="AH181" s="8"/>
      <c r="AI181" s="8"/>
      <c r="AJ181" s="8"/>
      <c r="AK181" s="8"/>
      <c r="AL181" s="8"/>
      <c r="AM181" s="8"/>
      <c r="AN181" s="8"/>
      <c r="AO181" s="9"/>
    </row>
    <row r="182" spans="1:41" x14ac:dyDescent="0.25">
      <c r="A182" s="3" t="s">
        <v>36</v>
      </c>
      <c r="B182" s="69">
        <f>B136/$F163/1000000*100</f>
        <v>3.0332855006069477E-2</v>
      </c>
      <c r="C182" s="69">
        <f>C136/$F163/1000000*100</f>
        <v>6.9327548941041317E-2</v>
      </c>
      <c r="D182" s="69">
        <f>D136/$F163/1000000*100</f>
        <v>0.10161567432018244</v>
      </c>
      <c r="E182" s="69">
        <f>E136/$F163/1000000*100</f>
        <v>0.13390379969932359</v>
      </c>
      <c r="F182" s="69">
        <f>F136/$F163/1000000*100</f>
        <v>0.16619192507846473</v>
      </c>
      <c r="G182" s="69">
        <f>G136/$F163/1000000*100</f>
        <v>0.20150769221180931</v>
      </c>
      <c r="H182" s="69">
        <f>H136/$F163/1000000*100</f>
        <v>0.23379581759095047</v>
      </c>
      <c r="I182" s="69">
        <f>I136/$F163/1000000*100</f>
        <v>0.34378669466228451</v>
      </c>
      <c r="J182" s="69">
        <f>J136/$F163/1000000*100</f>
        <v>0.42274424375303338</v>
      </c>
      <c r="K182" s="69"/>
      <c r="L182" s="69"/>
      <c r="M182" s="69"/>
      <c r="N182" s="69"/>
      <c r="O182" s="69"/>
      <c r="AE182" s="3"/>
      <c r="AF182" s="26"/>
      <c r="AG182" s="5"/>
      <c r="AH182" s="5"/>
      <c r="AI182" s="8"/>
      <c r="AJ182" s="8"/>
      <c r="AK182" s="8"/>
      <c r="AL182" s="8"/>
      <c r="AM182" s="8"/>
      <c r="AN182" s="8"/>
      <c r="AO182" s="9"/>
    </row>
    <row r="183" spans="1:41" x14ac:dyDescent="0.25">
      <c r="A183" s="3" t="s">
        <v>37</v>
      </c>
      <c r="B183" s="69">
        <f>B137/$F164/1000000*100</f>
        <v>4.5499282509104212E-2</v>
      </c>
      <c r="C183" s="69">
        <f>C137/$F164/1000000*100</f>
        <v>9.831449512243047E-2</v>
      </c>
      <c r="D183" s="69">
        <f>D137/$F164/1000000*100</f>
        <v>0.15242351148027364</v>
      </c>
      <c r="E183" s="69">
        <f>E137/$F164/1000000*100</f>
        <v>0.20085569954898536</v>
      </c>
      <c r="F183" s="69">
        <f>F137/$F164/1000000*100</f>
        <v>0.24928788761769713</v>
      </c>
      <c r="G183" s="69">
        <f>G137/$F164/1000000*100</f>
        <v>0.30226153831771402</v>
      </c>
      <c r="H183" s="69">
        <f>H137/$F164/1000000*100</f>
        <v>0.35069372638642565</v>
      </c>
      <c r="I183" s="69">
        <f>I137/$F164/1000000*100</f>
        <v>0.44755810252384909</v>
      </c>
      <c r="J183" s="69">
        <f>J137/$F164/1000000*100</f>
        <v>0.63411636562954987</v>
      </c>
      <c r="K183" s="69"/>
      <c r="L183" s="69"/>
      <c r="M183" s="69"/>
      <c r="N183" s="69"/>
      <c r="O183" s="69"/>
      <c r="AE183" s="8"/>
      <c r="AF183" s="70"/>
      <c r="AG183" s="70"/>
      <c r="AH183" s="70"/>
      <c r="AI183" s="70"/>
      <c r="AJ183" s="70"/>
      <c r="AK183" s="70"/>
      <c r="AL183" s="70"/>
      <c r="AM183" s="70"/>
      <c r="AN183" s="71"/>
      <c r="AO183" s="9"/>
    </row>
    <row r="184" spans="1:41" x14ac:dyDescent="0.25">
      <c r="A184" s="3" t="s">
        <v>38</v>
      </c>
      <c r="B184" s="69">
        <f>B138/$F165/1000000*100</f>
        <v>7.6578027392372128E-2</v>
      </c>
      <c r="C184" s="69">
        <f>C138/$F165/1000000*100</f>
        <v>0.1822084526190246</v>
      </c>
      <c r="D184" s="69">
        <f>D138/$F165/1000000*100</f>
        <v>0.29042648533471099</v>
      </c>
      <c r="E184" s="69">
        <f>E138/$F165/1000000*100</f>
        <v>0.38729086147213437</v>
      </c>
      <c r="F184" s="69">
        <f>F138/$F165/1000000*100</f>
        <v>0.48415523760955781</v>
      </c>
      <c r="G184" s="69">
        <f>G138/$F165/1000000*100</f>
        <v>0.59010253900959164</v>
      </c>
      <c r="H184" s="69">
        <f>H138/$F165/1000000*100</f>
        <v>0.68696691514701513</v>
      </c>
      <c r="I184" s="69">
        <f>I138/$F165/1000000*100</f>
        <v>0.88069566742186178</v>
      </c>
      <c r="J184" s="69">
        <f>J138/$F165/1000000*100</f>
        <v>1.0835073449593193</v>
      </c>
      <c r="K184" s="69"/>
      <c r="L184" s="69"/>
      <c r="M184" s="69"/>
      <c r="N184" s="69"/>
      <c r="O184" s="69"/>
      <c r="AE184" s="8"/>
      <c r="AF184" s="70"/>
      <c r="AG184" s="70"/>
      <c r="AH184" s="70"/>
      <c r="AI184" s="70"/>
      <c r="AJ184" s="70"/>
      <c r="AK184" s="70"/>
      <c r="AL184" s="70"/>
      <c r="AM184" s="70"/>
      <c r="AN184" s="71"/>
      <c r="AO184" s="9"/>
    </row>
    <row r="185" spans="1:41" x14ac:dyDescent="0.25">
      <c r="A185" s="3"/>
      <c r="B185" s="25"/>
      <c r="C185" s="25"/>
      <c r="D185" s="25"/>
      <c r="E185" s="25"/>
      <c r="F185" s="25"/>
      <c r="G185" s="25"/>
      <c r="H185" s="25"/>
      <c r="I185" s="25"/>
      <c r="J185" s="25"/>
      <c r="K185" s="25"/>
      <c r="L185" s="25"/>
      <c r="M185" s="25"/>
      <c r="AE185" s="8"/>
      <c r="AF185" s="70"/>
      <c r="AG185" s="70"/>
      <c r="AH185" s="70"/>
      <c r="AI185" s="70"/>
      <c r="AJ185" s="70"/>
      <c r="AK185" s="70"/>
      <c r="AL185" s="70"/>
      <c r="AM185" s="70"/>
      <c r="AN185" s="71"/>
      <c r="AO185" s="9"/>
    </row>
    <row r="186" spans="1:41" x14ac:dyDescent="0.25">
      <c r="A186" s="3"/>
      <c r="B186" s="26"/>
      <c r="C186" s="22"/>
      <c r="D186" s="26"/>
      <c r="E186" s="27"/>
      <c r="F186" s="27"/>
      <c r="G186" s="27"/>
      <c r="I186" s="6"/>
    </row>
    <row r="187" spans="1:41" x14ac:dyDescent="0.25">
      <c r="A187" s="1" t="s">
        <v>51</v>
      </c>
      <c r="B187" s="26"/>
      <c r="C187" s="22"/>
      <c r="D187" s="26"/>
      <c r="E187" s="27"/>
      <c r="F187" s="27"/>
      <c r="G187" s="27"/>
      <c r="I187" s="6"/>
    </row>
    <row r="189" spans="1:41" x14ac:dyDescent="0.25">
      <c r="A189" s="24" t="s">
        <v>52</v>
      </c>
      <c r="B189" s="72"/>
      <c r="C189" s="73"/>
      <c r="D189" s="74"/>
      <c r="E189" s="74"/>
      <c r="F189" s="75"/>
      <c r="G189" s="75"/>
      <c r="H189" s="76"/>
      <c r="I189" s="76"/>
      <c r="J189" s="76"/>
      <c r="K189" s="76"/>
      <c r="L189" s="76"/>
      <c r="M189" s="76"/>
      <c r="N189" s="76"/>
      <c r="O189" s="77"/>
      <c r="P189" s="77"/>
      <c r="Q189" s="77"/>
      <c r="R189" s="77"/>
      <c r="S189" s="77"/>
      <c r="T189" s="77"/>
      <c r="U189" s="77"/>
      <c r="V189" s="77"/>
      <c r="W189" s="77"/>
    </row>
    <row r="190" spans="1:41" x14ac:dyDescent="0.25">
      <c r="A190" s="78"/>
      <c r="B190" s="73"/>
      <c r="C190" s="73"/>
      <c r="D190" s="74"/>
      <c r="E190" s="74"/>
      <c r="F190" s="75"/>
      <c r="G190" s="75"/>
      <c r="H190" s="76"/>
      <c r="I190" s="76"/>
      <c r="J190" s="76" t="s">
        <v>622</v>
      </c>
      <c r="K190" s="76"/>
      <c r="L190" s="76"/>
      <c r="M190" s="76"/>
      <c r="N190" s="76"/>
      <c r="O190" s="77"/>
      <c r="P190" s="77"/>
      <c r="Q190" s="77"/>
      <c r="R190" s="77"/>
      <c r="S190" s="77"/>
      <c r="T190" s="77"/>
      <c r="U190" s="77"/>
      <c r="V190" s="77"/>
      <c r="W190" s="77"/>
    </row>
    <row r="191" spans="1:41" x14ac:dyDescent="0.25">
      <c r="A191" s="79"/>
      <c r="B191" s="80"/>
      <c r="C191" s="80"/>
      <c r="D191" s="80"/>
      <c r="E191" s="79"/>
      <c r="F191" s="80"/>
      <c r="G191" s="80"/>
      <c r="H191" s="80"/>
      <c r="I191" s="81"/>
      <c r="J191" s="80"/>
      <c r="K191" s="80"/>
      <c r="L191" s="80"/>
      <c r="M191" s="80"/>
      <c r="N191" s="80"/>
      <c r="O191" s="80"/>
      <c r="P191" s="80"/>
      <c r="Q191" s="80"/>
      <c r="R191" s="80"/>
      <c r="S191" s="80"/>
      <c r="T191" s="80"/>
      <c r="U191" s="80"/>
      <c r="V191" s="82"/>
      <c r="W191" s="83"/>
    </row>
    <row r="192" spans="1:41" x14ac:dyDescent="0.25">
      <c r="A192" s="84" t="s">
        <v>53</v>
      </c>
      <c r="B192" s="85" t="s">
        <v>49</v>
      </c>
      <c r="C192" s="86"/>
      <c r="D192" s="87"/>
      <c r="E192" s="87"/>
      <c r="F192" s="88"/>
      <c r="G192" s="88"/>
      <c r="H192" s="80"/>
      <c r="I192" s="80"/>
      <c r="J192" s="80"/>
      <c r="K192" s="80"/>
      <c r="L192" s="80"/>
      <c r="M192" s="80"/>
      <c r="N192" s="89"/>
      <c r="P192" s="80"/>
      <c r="Q192" s="80"/>
      <c r="R192" s="80"/>
      <c r="S192" s="80"/>
      <c r="T192" s="80"/>
      <c r="V192" s="82"/>
      <c r="W192" s="82"/>
    </row>
    <row r="193" spans="1:23" x14ac:dyDescent="0.25">
      <c r="A193" s="25" t="s">
        <v>24</v>
      </c>
      <c r="B193" s="90"/>
      <c r="C193" s="91"/>
      <c r="D193" s="87"/>
      <c r="E193" s="87"/>
      <c r="F193" s="88"/>
      <c r="G193" s="88"/>
      <c r="H193" s="80"/>
      <c r="I193" s="80"/>
      <c r="J193" s="80"/>
      <c r="K193" s="80"/>
      <c r="L193" s="80"/>
      <c r="M193" s="80"/>
      <c r="N193" s="80"/>
      <c r="O193" s="80"/>
      <c r="P193" s="80"/>
      <c r="Q193" s="80"/>
      <c r="R193" s="80"/>
      <c r="S193" s="80"/>
      <c r="T193" s="80"/>
      <c r="U193" s="80"/>
      <c r="V193" s="82"/>
      <c r="W193" s="82"/>
    </row>
    <row r="194" spans="1:23" ht="15" x14ac:dyDescent="0.2">
      <c r="A194" s="92" t="s">
        <v>25</v>
      </c>
      <c r="B194" s="93">
        <f>B171</f>
        <v>2.6437076063454343E-3</v>
      </c>
      <c r="C194" s="141">
        <f t="shared" ref="C194:C206" si="46">LN(B194)</f>
        <v>-5.9355729507231496</v>
      </c>
      <c r="D194" s="87"/>
      <c r="E194" s="87"/>
      <c r="F194" s="88"/>
      <c r="G194" s="88"/>
      <c r="H194" s="80"/>
      <c r="I194" s="80"/>
      <c r="J194" s="80"/>
      <c r="K194" s="80"/>
      <c r="L194" s="80"/>
      <c r="M194" s="80"/>
      <c r="N194" s="80"/>
      <c r="O194" s="80"/>
      <c r="P194" s="80"/>
      <c r="Q194" s="80"/>
      <c r="R194" s="80"/>
      <c r="S194" s="80"/>
      <c r="T194" s="80"/>
      <c r="U194" s="80"/>
      <c r="V194" s="82"/>
      <c r="W194" s="82"/>
    </row>
    <row r="195" spans="1:23" ht="15" x14ac:dyDescent="0.2">
      <c r="A195" s="92" t="s">
        <v>26</v>
      </c>
      <c r="B195" s="93">
        <f>B172</f>
        <v>2.9772717284947039E-3</v>
      </c>
      <c r="C195" s="141">
        <f t="shared" si="46"/>
        <v>-5.8167479251667302</v>
      </c>
      <c r="D195" s="87"/>
      <c r="E195" s="87"/>
      <c r="F195" s="88"/>
      <c r="G195" s="88"/>
      <c r="H195" s="80"/>
      <c r="I195" s="80"/>
      <c r="J195" s="80"/>
      <c r="K195" s="80"/>
      <c r="L195" s="80"/>
      <c r="M195" s="80"/>
      <c r="N195" s="80"/>
      <c r="O195" s="80"/>
      <c r="P195" s="80"/>
      <c r="Q195" s="80"/>
      <c r="R195" s="80"/>
      <c r="S195" s="80"/>
      <c r="T195" s="80"/>
      <c r="U195" s="80"/>
      <c r="V195" s="82"/>
      <c r="W195" s="82"/>
    </row>
    <row r="196" spans="1:23" ht="15" x14ac:dyDescent="0.2">
      <c r="A196" s="92" t="s">
        <v>27</v>
      </c>
      <c r="B196" s="93">
        <f>B173</f>
        <v>3.37382210694073E-3</v>
      </c>
      <c r="C196" s="141">
        <f t="shared" si="46"/>
        <v>-5.6917090209250798</v>
      </c>
      <c r="D196" s="87"/>
      <c r="E196" s="87"/>
      <c r="F196" s="88"/>
      <c r="G196" s="88"/>
      <c r="H196" s="80"/>
      <c r="I196" s="80"/>
      <c r="J196" s="80"/>
      <c r="K196" s="80"/>
      <c r="L196" s="80"/>
      <c r="M196" s="80"/>
      <c r="N196" s="80"/>
      <c r="O196" s="80"/>
      <c r="P196" s="80"/>
      <c r="Q196" s="80"/>
      <c r="R196" s="80"/>
      <c r="S196" s="80"/>
      <c r="T196" s="80"/>
      <c r="U196" s="80"/>
      <c r="V196" s="82"/>
      <c r="W196" s="82"/>
    </row>
    <row r="197" spans="1:23" ht="15" x14ac:dyDescent="0.2">
      <c r="A197" s="92" t="s">
        <v>28</v>
      </c>
      <c r="B197" s="93">
        <f>B174</f>
        <v>4.393523080087656E-3</v>
      </c>
      <c r="C197" s="141">
        <f t="shared" si="46"/>
        <v>-5.4276238498072464</v>
      </c>
      <c r="D197" s="87"/>
      <c r="E197" s="87"/>
      <c r="F197" s="88"/>
      <c r="G197" s="88"/>
      <c r="H197" s="80"/>
      <c r="I197" s="80"/>
      <c r="J197" s="80"/>
      <c r="K197" s="80"/>
      <c r="L197" s="80"/>
      <c r="M197" s="80"/>
      <c r="N197" s="80"/>
      <c r="O197" s="80"/>
      <c r="P197" s="80"/>
      <c r="Q197" s="80"/>
      <c r="R197" s="80"/>
      <c r="S197" s="80"/>
      <c r="T197" s="80"/>
      <c r="U197" s="80"/>
      <c r="V197" s="82"/>
      <c r="W197" s="82"/>
    </row>
    <row r="198" spans="1:23" ht="15" x14ac:dyDescent="0.2">
      <c r="A198" s="92" t="s">
        <v>29</v>
      </c>
      <c r="B198" s="93">
        <f>B175</f>
        <v>5.6910533254371856E-3</v>
      </c>
      <c r="C198" s="141">
        <f t="shared" si="46"/>
        <v>-5.1688599292702424</v>
      </c>
      <c r="D198" s="87"/>
      <c r="E198" s="87"/>
      <c r="F198" s="88"/>
      <c r="G198" s="88"/>
      <c r="H198" s="80"/>
      <c r="I198" s="80"/>
      <c r="J198" s="80"/>
      <c r="K198" s="80"/>
      <c r="L198" s="80"/>
      <c r="M198" s="80"/>
      <c r="N198" s="80"/>
      <c r="O198" s="80"/>
      <c r="P198" s="80"/>
      <c r="Q198" s="80"/>
      <c r="R198" s="80"/>
      <c r="S198" s="80"/>
      <c r="T198" s="80"/>
      <c r="U198" s="80"/>
      <c r="V198" s="82"/>
      <c r="W198" s="82"/>
    </row>
    <row r="199" spans="1:23" ht="15" x14ac:dyDescent="0.2">
      <c r="A199" s="92" t="s">
        <v>30</v>
      </c>
      <c r="B199" s="93">
        <f>B176</f>
        <v>6.2311803021116736E-3</v>
      </c>
      <c r="C199" s="141">
        <f t="shared" si="46"/>
        <v>-5.0781895095344662</v>
      </c>
      <c r="D199" s="87"/>
      <c r="E199" s="87"/>
      <c r="F199" s="88"/>
      <c r="G199" s="88"/>
      <c r="H199" s="80"/>
      <c r="I199" s="80"/>
      <c r="J199" s="80"/>
      <c r="K199" s="80"/>
      <c r="L199" s="80"/>
      <c r="M199" s="80"/>
      <c r="N199" s="80"/>
      <c r="O199" s="80"/>
      <c r="P199" s="80"/>
      <c r="Q199" s="80"/>
      <c r="R199" s="80"/>
      <c r="S199" s="80"/>
      <c r="T199" s="80"/>
      <c r="U199" s="80"/>
      <c r="V199" s="82"/>
      <c r="W199" s="82"/>
    </row>
    <row r="200" spans="1:23" ht="15" x14ac:dyDescent="0.2">
      <c r="A200" s="92" t="s">
        <v>31</v>
      </c>
      <c r="B200" s="93">
        <f>B177</f>
        <v>7.1976932523201238E-3</v>
      </c>
      <c r="C200" s="143">
        <f t="shared" si="46"/>
        <v>-4.9339946859154891</v>
      </c>
      <c r="D200" s="87"/>
      <c r="E200" s="87"/>
      <c r="F200" s="88"/>
      <c r="G200" s="88"/>
      <c r="H200" s="80"/>
      <c r="I200" s="80"/>
      <c r="J200" s="80"/>
      <c r="K200" s="80"/>
      <c r="L200" s="80"/>
      <c r="M200" s="80"/>
      <c r="N200" s="80"/>
      <c r="O200" s="80"/>
      <c r="P200" s="80"/>
      <c r="Q200" s="80"/>
      <c r="R200" s="80"/>
      <c r="S200" s="80"/>
      <c r="T200" s="80"/>
      <c r="U200" s="80"/>
      <c r="V200" s="82"/>
      <c r="W200" s="82"/>
    </row>
    <row r="201" spans="1:23" ht="15" x14ac:dyDescent="0.2">
      <c r="A201" s="92" t="s">
        <v>32</v>
      </c>
      <c r="B201" s="93">
        <f>B178</f>
        <v>1.0622498907133888E-2</v>
      </c>
      <c r="C201" s="141">
        <f t="shared" si="46"/>
        <v>-4.5447809888575073</v>
      </c>
      <c r="D201" s="87"/>
      <c r="E201" s="87"/>
      <c r="F201" s="88"/>
      <c r="G201" s="88"/>
      <c r="H201" s="80"/>
      <c r="I201" s="80"/>
      <c r="J201" s="80"/>
      <c r="K201" s="80"/>
      <c r="L201" s="80"/>
      <c r="M201" s="80"/>
      <c r="N201" s="80"/>
      <c r="O201" s="80"/>
      <c r="P201" s="80"/>
      <c r="Q201" s="80"/>
      <c r="R201" s="80"/>
      <c r="S201" s="80"/>
      <c r="T201" s="80"/>
      <c r="U201" s="80"/>
      <c r="V201" s="82"/>
      <c r="W201" s="82"/>
    </row>
    <row r="202" spans="1:23" ht="15" x14ac:dyDescent="0.2">
      <c r="A202" s="92" t="s">
        <v>33</v>
      </c>
      <c r="B202" s="93">
        <f>B179</f>
        <v>1.7266918469209486E-2</v>
      </c>
      <c r="C202" s="141">
        <f t="shared" si="46"/>
        <v>-4.0589628353322924</v>
      </c>
      <c r="D202" s="87"/>
      <c r="E202" s="87"/>
      <c r="F202" s="88"/>
      <c r="G202" s="88"/>
      <c r="H202" s="80"/>
      <c r="I202" s="80"/>
      <c r="J202" s="80"/>
      <c r="K202" s="80"/>
      <c r="L202" s="80"/>
      <c r="M202" s="80"/>
      <c r="N202" s="80"/>
      <c r="O202" s="80"/>
      <c r="P202" s="80"/>
      <c r="Q202" s="80"/>
      <c r="R202" s="80"/>
      <c r="S202" s="80"/>
      <c r="T202" s="80"/>
      <c r="U202" s="80"/>
      <c r="V202" s="82"/>
      <c r="W202" s="82"/>
    </row>
    <row r="203" spans="1:23" ht="15" x14ac:dyDescent="0.2">
      <c r="A203" s="92" t="s">
        <v>34</v>
      </c>
      <c r="B203" s="93">
        <f>B180</f>
        <v>2.1779984414194146E-2</v>
      </c>
      <c r="C203" s="141">
        <f t="shared" si="46"/>
        <v>-3.8267638770793169</v>
      </c>
      <c r="D203" s="87"/>
      <c r="E203" s="87"/>
      <c r="F203" s="88"/>
      <c r="G203" s="88"/>
      <c r="H203" s="80"/>
      <c r="I203" s="80"/>
      <c r="J203" s="80"/>
      <c r="K203" s="80"/>
      <c r="L203" s="80"/>
      <c r="M203" s="80"/>
      <c r="N203" s="80"/>
      <c r="O203" s="80"/>
      <c r="P203" s="80"/>
      <c r="Q203" s="80"/>
      <c r="R203" s="80"/>
      <c r="S203" s="80"/>
      <c r="T203" s="80"/>
      <c r="U203" s="80"/>
      <c r="V203" s="82"/>
      <c r="W203" s="94"/>
    </row>
    <row r="204" spans="1:23" ht="15" x14ac:dyDescent="0.2">
      <c r="A204" s="92" t="s">
        <v>35</v>
      </c>
      <c r="B204" s="93">
        <f>B181</f>
        <v>2.7224980517742685E-2</v>
      </c>
      <c r="C204" s="141">
        <f t="shared" si="46"/>
        <v>-3.6036203257651067</v>
      </c>
      <c r="D204" s="87"/>
      <c r="E204" s="87"/>
      <c r="F204" s="88"/>
      <c r="G204" s="88"/>
      <c r="H204" s="80"/>
      <c r="I204" s="80"/>
      <c r="J204" s="80"/>
      <c r="K204" s="80"/>
      <c r="L204" s="80"/>
      <c r="M204" s="80"/>
      <c r="N204" s="80"/>
      <c r="O204" s="80"/>
      <c r="P204" s="80"/>
      <c r="Q204" s="80"/>
      <c r="R204" s="80"/>
      <c r="S204" s="80"/>
      <c r="T204" s="80"/>
      <c r="U204" s="80"/>
      <c r="V204" s="82"/>
      <c r="W204" s="94"/>
    </row>
    <row r="205" spans="1:23" ht="15" x14ac:dyDescent="0.2">
      <c r="A205" s="92" t="s">
        <v>36</v>
      </c>
      <c r="B205" s="93">
        <f>B182</f>
        <v>3.0332855006069477E-2</v>
      </c>
      <c r="C205" s="141">
        <f t="shared" si="46"/>
        <v>-3.495523830288406</v>
      </c>
      <c r="D205" s="87"/>
      <c r="E205" s="87"/>
      <c r="F205" s="88"/>
      <c r="G205" s="88"/>
      <c r="H205" s="80"/>
      <c r="I205" s="80"/>
      <c r="J205" s="80"/>
      <c r="K205" s="80"/>
      <c r="L205" s="80"/>
      <c r="M205" s="80"/>
      <c r="N205" s="80"/>
      <c r="O205" s="80"/>
      <c r="P205" s="80"/>
      <c r="Q205" s="80"/>
      <c r="R205" s="80"/>
      <c r="S205" s="80"/>
      <c r="T205" s="80"/>
      <c r="U205" s="80"/>
      <c r="V205" s="82"/>
      <c r="W205" s="95"/>
    </row>
    <row r="206" spans="1:23" ht="15" x14ac:dyDescent="0.2">
      <c r="A206" s="92" t="s">
        <v>37</v>
      </c>
      <c r="B206" s="93">
        <f>B183</f>
        <v>4.5499282509104212E-2</v>
      </c>
      <c r="C206" s="141">
        <f t="shared" si="46"/>
        <v>-3.0900587221802414</v>
      </c>
      <c r="D206" s="87"/>
      <c r="E206" s="87"/>
      <c r="F206" s="88"/>
      <c r="G206" s="88"/>
      <c r="H206" s="80"/>
      <c r="I206" s="80"/>
      <c r="J206" s="80"/>
      <c r="K206" s="80"/>
      <c r="L206" s="80"/>
      <c r="M206" s="80"/>
      <c r="N206" s="80"/>
      <c r="O206" s="80"/>
      <c r="P206" s="80"/>
      <c r="Q206" s="80"/>
      <c r="R206" s="80"/>
      <c r="S206" s="80"/>
      <c r="T206" s="80"/>
      <c r="U206" s="80"/>
      <c r="V206" s="82"/>
      <c r="W206" s="95"/>
    </row>
    <row r="207" spans="1:23" ht="15" x14ac:dyDescent="0.2">
      <c r="A207" s="92" t="s">
        <v>38</v>
      </c>
      <c r="B207" s="93">
        <f>B184</f>
        <v>7.6578027392372128E-2</v>
      </c>
      <c r="C207" s="141">
        <f>LN(B207)</f>
        <v>-2.5694450920480878</v>
      </c>
      <c r="D207" s="87"/>
      <c r="E207" s="87"/>
      <c r="F207" s="88"/>
      <c r="G207" s="88"/>
      <c r="H207" s="80"/>
      <c r="I207" s="80"/>
      <c r="J207" s="80"/>
      <c r="K207" s="80"/>
      <c r="L207" s="80"/>
      <c r="M207" s="80"/>
      <c r="N207" s="80"/>
      <c r="O207" s="80"/>
      <c r="P207" s="80"/>
      <c r="Q207" s="80"/>
      <c r="R207" s="80"/>
      <c r="S207" s="80"/>
      <c r="T207" s="80"/>
      <c r="U207" s="80"/>
      <c r="V207" s="82"/>
      <c r="W207" s="82"/>
    </row>
    <row r="208" spans="1:23" x14ac:dyDescent="0.25">
      <c r="A208" s="98"/>
      <c r="B208" s="93"/>
      <c r="C208" s="86"/>
      <c r="D208" s="87"/>
      <c r="E208" s="87"/>
      <c r="F208" s="88"/>
      <c r="G208" s="88"/>
      <c r="H208" s="80"/>
      <c r="I208" s="80"/>
      <c r="J208" s="80"/>
      <c r="K208" s="80"/>
      <c r="L208" s="80"/>
      <c r="M208" s="80"/>
      <c r="N208" s="80"/>
      <c r="O208" s="80"/>
      <c r="P208" s="80"/>
      <c r="Q208" s="80"/>
      <c r="R208" s="80"/>
      <c r="S208" s="80"/>
      <c r="T208" s="80"/>
      <c r="U208" s="80"/>
      <c r="V208" s="82"/>
      <c r="W208" s="96"/>
    </row>
    <row r="209" spans="1:23" x14ac:dyDescent="0.25">
      <c r="A209" s="98"/>
      <c r="B209" s="86"/>
      <c r="C209" s="86"/>
      <c r="D209" s="87"/>
      <c r="E209" s="87"/>
      <c r="F209" s="88"/>
      <c r="G209" s="88"/>
      <c r="H209" s="80"/>
      <c r="I209" s="80"/>
      <c r="J209" s="80"/>
      <c r="K209" s="80"/>
      <c r="L209" s="80"/>
      <c r="M209" s="80"/>
      <c r="N209" s="80"/>
      <c r="O209" s="80"/>
      <c r="P209" s="80"/>
      <c r="Q209" s="80"/>
      <c r="R209" s="80"/>
      <c r="S209" s="80"/>
      <c r="T209" s="80"/>
      <c r="U209" s="80"/>
      <c r="V209" s="82"/>
      <c r="W209" s="97"/>
    </row>
    <row r="210" spans="1:23" x14ac:dyDescent="0.25">
      <c r="D210" s="87"/>
      <c r="E210" s="87"/>
      <c r="F210" s="88"/>
      <c r="G210" s="88"/>
      <c r="H210" s="80"/>
      <c r="I210" s="80"/>
      <c r="J210" s="80"/>
      <c r="K210" s="80"/>
      <c r="L210" s="80"/>
      <c r="M210" s="80"/>
      <c r="N210" s="80"/>
      <c r="O210" s="80"/>
      <c r="P210" s="80"/>
      <c r="Q210" s="80"/>
      <c r="R210" s="80"/>
      <c r="S210" s="80"/>
      <c r="T210" s="80"/>
      <c r="U210" s="80"/>
      <c r="V210" s="82"/>
      <c r="W210" s="97"/>
    </row>
    <row r="211" spans="1:23" x14ac:dyDescent="0.25">
      <c r="A211" s="101" t="s">
        <v>54</v>
      </c>
      <c r="D211" s="87"/>
      <c r="E211" s="87"/>
      <c r="F211" s="88"/>
      <c r="G211" s="88"/>
      <c r="H211" s="80"/>
      <c r="I211" s="80"/>
      <c r="J211" s="80"/>
      <c r="K211" s="80"/>
      <c r="L211" s="80"/>
      <c r="M211" s="80"/>
      <c r="N211" s="80"/>
      <c r="O211" s="80"/>
      <c r="P211" s="80"/>
      <c r="Q211" s="80"/>
      <c r="R211" s="80"/>
      <c r="S211" s="80"/>
      <c r="T211" s="80"/>
      <c r="U211" s="80"/>
      <c r="V211" s="80"/>
      <c r="W211" s="98"/>
    </row>
    <row r="212" spans="1:23" x14ac:dyDescent="0.25">
      <c r="A212" s="101"/>
      <c r="D212" s="87"/>
      <c r="E212" s="87"/>
      <c r="F212" s="88"/>
      <c r="G212" s="88"/>
      <c r="H212" s="80"/>
      <c r="I212" s="80"/>
      <c r="J212" s="80"/>
      <c r="K212" s="80"/>
      <c r="L212" s="80"/>
      <c r="M212" s="80"/>
      <c r="N212" s="80"/>
      <c r="O212" s="80"/>
      <c r="P212" s="80"/>
      <c r="Q212" s="80"/>
      <c r="R212" s="80"/>
      <c r="S212" s="80"/>
      <c r="T212" s="80"/>
      <c r="U212" s="80"/>
      <c r="V212" s="80"/>
      <c r="W212" s="98"/>
    </row>
    <row r="213" spans="1:23" ht="16.5" thickBot="1" x14ac:dyDescent="0.3">
      <c r="D213" s="87"/>
      <c r="E213" s="87"/>
      <c r="F213" s="88"/>
      <c r="G213" s="88"/>
      <c r="H213" s="80"/>
      <c r="I213" s="80"/>
      <c r="J213" s="80"/>
      <c r="K213" s="80"/>
      <c r="L213" s="80"/>
      <c r="M213" s="80"/>
      <c r="N213" s="80"/>
      <c r="O213" s="80"/>
      <c r="P213" s="80"/>
      <c r="Q213" s="80"/>
      <c r="R213" s="80"/>
      <c r="S213" s="80"/>
      <c r="T213" s="80"/>
      <c r="U213" s="80"/>
      <c r="V213" s="80"/>
      <c r="W213" s="99"/>
    </row>
    <row r="214" spans="1:23" ht="16.5" thickBot="1" x14ac:dyDescent="0.3">
      <c r="A214" s="105"/>
      <c r="B214" s="76"/>
      <c r="C214" s="76"/>
      <c r="D214" s="87"/>
      <c r="E214" s="87"/>
      <c r="F214" s="88"/>
      <c r="G214" s="88"/>
      <c r="H214" s="80"/>
      <c r="I214" s="80"/>
      <c r="J214" s="76" t="str">
        <f>"ln(cost) =" &amp;L214 &amp; "ln(SOQ)+ " &amp; N214</f>
        <v>ln(cost) =-0.65ln(SOQ)+ 6.44</v>
      </c>
      <c r="K214" s="76"/>
      <c r="L214" s="136">
        <f>ROUND(SLOPE(C194:C207,E$152:E$165),2)</f>
        <v>-0.65</v>
      </c>
      <c r="M214" s="100"/>
      <c r="N214" s="135">
        <f>ROUND(INTERCEPT(C194:C207,E$152:E$165),2)</f>
        <v>6.44</v>
      </c>
      <c r="O214" s="80"/>
      <c r="P214" s="80"/>
      <c r="Q214" s="80"/>
      <c r="R214" s="80"/>
      <c r="S214" s="80"/>
      <c r="T214" s="80"/>
      <c r="U214" s="80"/>
      <c r="V214" s="80"/>
      <c r="W214" s="99"/>
    </row>
    <row r="215" spans="1:23" ht="16.5" thickBot="1" x14ac:dyDescent="0.3">
      <c r="A215" s="108" t="s">
        <v>53</v>
      </c>
      <c r="B215" s="109" t="s">
        <v>621</v>
      </c>
      <c r="C215" s="76"/>
      <c r="D215" s="87"/>
      <c r="E215" s="87"/>
      <c r="F215" s="88"/>
      <c r="G215" s="88"/>
      <c r="H215" s="80"/>
      <c r="I215" s="80"/>
      <c r="J215" s="80" t="str">
        <f>"Cost =SOQ^" &amp; L214 &amp; " * e^" &amp; N214</f>
        <v>Cost =SOQ^-0.65 * e^6.44</v>
      </c>
      <c r="K215" s="80"/>
      <c r="L215" s="134"/>
      <c r="N215" s="80"/>
      <c r="S215" s="80"/>
      <c r="T215" s="80"/>
      <c r="U215" s="80"/>
      <c r="V215" s="80"/>
      <c r="W215" s="99"/>
    </row>
    <row r="216" spans="1:23" ht="16.5" thickBot="1" x14ac:dyDescent="0.3">
      <c r="A216" s="25" t="s">
        <v>24</v>
      </c>
      <c r="B216" s="90"/>
      <c r="C216" s="111"/>
      <c r="D216" s="87"/>
      <c r="E216" s="87"/>
      <c r="F216" s="88"/>
      <c r="G216" s="88"/>
      <c r="H216" s="80"/>
      <c r="I216" s="80"/>
      <c r="J216" s="79" t="str">
        <f>"Cost =SOQ^"&amp;L214&amp;" *" &amp; L216</f>
        <v>Cost =SOQ^-0.65 *626.41</v>
      </c>
      <c r="K216" s="80"/>
      <c r="L216" s="102">
        <f>ROUND(EXP(N214),2)</f>
        <v>626.41</v>
      </c>
      <c r="M216" s="103" t="s">
        <v>55</v>
      </c>
      <c r="S216" s="80"/>
      <c r="T216" s="80"/>
      <c r="U216" s="80"/>
      <c r="V216" s="80"/>
      <c r="W216" s="99"/>
    </row>
    <row r="217" spans="1:23" x14ac:dyDescent="0.25">
      <c r="A217" s="92" t="s">
        <v>25</v>
      </c>
      <c r="B217" s="112">
        <f>(J171-B171)/50</f>
        <v>2.9411672696420181E-4</v>
      </c>
      <c r="C217" s="140">
        <f t="shared" ref="C217:C230" si="47">LN(B217)</f>
        <v>-8.13153383893086</v>
      </c>
      <c r="D217" s="87"/>
      <c r="E217" s="87"/>
      <c r="F217" s="88"/>
      <c r="G217" s="88"/>
      <c r="H217" s="80"/>
      <c r="I217" s="80"/>
      <c r="J217" s="79"/>
      <c r="K217" s="80"/>
      <c r="L217" s="80"/>
      <c r="M217" s="104"/>
      <c r="N217" s="80"/>
      <c r="S217" s="80"/>
      <c r="T217" s="80"/>
      <c r="U217" s="80"/>
      <c r="V217" s="80"/>
      <c r="W217" s="99"/>
    </row>
    <row r="218" spans="1:23" ht="15" x14ac:dyDescent="0.2">
      <c r="A218" s="92" t="s">
        <v>26</v>
      </c>
      <c r="B218" s="112">
        <f>(J172-B172)/50</f>
        <v>3.6764590870525221E-4</v>
      </c>
      <c r="C218" s="140">
        <f t="shared" si="47"/>
        <v>-7.9083902876166503</v>
      </c>
      <c r="D218" s="80"/>
      <c r="E218" s="80"/>
      <c r="F218" s="80"/>
      <c r="G218" s="80"/>
      <c r="H218" s="80"/>
      <c r="I218" s="80"/>
      <c r="J218" s="80"/>
      <c r="K218" s="80"/>
      <c r="L218" s="80"/>
      <c r="M218" s="80"/>
      <c r="N218" s="80"/>
      <c r="S218" s="80"/>
      <c r="T218" s="80"/>
      <c r="U218" s="80"/>
      <c r="V218" s="80"/>
      <c r="W218" s="80"/>
    </row>
    <row r="219" spans="1:23" x14ac:dyDescent="0.25">
      <c r="A219" s="92" t="s">
        <v>27</v>
      </c>
      <c r="B219" s="112">
        <f>(J173-B173)/50</f>
        <v>4.4117509044630277E-4</v>
      </c>
      <c r="C219" s="140">
        <f t="shared" si="47"/>
        <v>-7.7260687308226954</v>
      </c>
      <c r="D219" s="76"/>
      <c r="E219" s="105"/>
      <c r="F219" s="76"/>
      <c r="G219" s="76"/>
      <c r="H219" s="76"/>
      <c r="I219" s="106"/>
      <c r="J219" s="76"/>
      <c r="K219" s="76"/>
      <c r="L219" s="76"/>
      <c r="M219" s="76"/>
      <c r="N219" s="76"/>
      <c r="O219" s="76"/>
      <c r="P219" s="76"/>
      <c r="Q219" s="76"/>
      <c r="R219" s="76"/>
      <c r="S219" s="76"/>
      <c r="T219" s="76"/>
      <c r="U219" s="76"/>
      <c r="V219" s="76"/>
      <c r="W219" s="107"/>
    </row>
    <row r="220" spans="1:23" ht="15" x14ac:dyDescent="0.2">
      <c r="A220" s="92" t="s">
        <v>28</v>
      </c>
      <c r="B220" s="112">
        <f>(J174-B174)/50</f>
        <v>5.5369404485271678E-4</v>
      </c>
      <c r="C220" s="140">
        <f t="shared" si="47"/>
        <v>-7.4988982893806257</v>
      </c>
      <c r="D220" s="76"/>
      <c r="E220" s="76"/>
      <c r="F220" s="76"/>
      <c r="G220" s="76"/>
      <c r="H220" s="76"/>
      <c r="I220" s="76"/>
      <c r="J220" s="76"/>
      <c r="K220" s="76"/>
      <c r="L220" s="76"/>
      <c r="M220" s="76"/>
      <c r="N220" s="76"/>
      <c r="O220" s="76"/>
      <c r="P220" s="76"/>
      <c r="Q220" s="76"/>
      <c r="R220" s="76"/>
      <c r="S220" s="76"/>
      <c r="T220" s="76"/>
      <c r="U220" s="76"/>
      <c r="V220" s="76"/>
      <c r="W220" s="110"/>
    </row>
    <row r="221" spans="1:23" ht="15" x14ac:dyDescent="0.2">
      <c r="A221" s="92" t="s">
        <v>29</v>
      </c>
      <c r="B221" s="112">
        <f>(J175-B175)/50</f>
        <v>7.7517166279380352E-4</v>
      </c>
      <c r="C221" s="140">
        <f t="shared" si="47"/>
        <v>-7.1624260527594128</v>
      </c>
      <c r="D221" s="76"/>
      <c r="E221" s="76"/>
      <c r="F221" s="76"/>
      <c r="G221" s="76"/>
      <c r="H221" s="76"/>
      <c r="I221" s="76"/>
      <c r="J221" s="76"/>
      <c r="K221" s="76"/>
      <c r="L221" s="76"/>
      <c r="M221" s="76"/>
      <c r="N221" s="76"/>
      <c r="O221" s="76"/>
      <c r="P221" s="76"/>
      <c r="Q221" s="76"/>
      <c r="R221" s="76"/>
      <c r="S221" s="76"/>
      <c r="T221" s="76"/>
      <c r="U221" s="76"/>
      <c r="V221" s="76"/>
      <c r="W221" s="110"/>
    </row>
    <row r="222" spans="1:23" ht="15" x14ac:dyDescent="0.2">
      <c r="A222" s="92" t="s">
        <v>30</v>
      </c>
      <c r="B222" s="112">
        <f>(J176-B176)/50</f>
        <v>9.6896457849225421E-4</v>
      </c>
      <c r="C222" s="140">
        <f t="shared" si="47"/>
        <v>-6.9392825014452031</v>
      </c>
      <c r="D222" s="76"/>
      <c r="E222" s="76"/>
      <c r="F222" s="76"/>
      <c r="G222" s="76"/>
      <c r="H222" s="76"/>
      <c r="I222" s="76"/>
      <c r="J222" s="76"/>
      <c r="K222" s="76"/>
      <c r="L222" s="76"/>
      <c r="M222" s="76"/>
      <c r="N222" s="76"/>
      <c r="O222" s="76"/>
      <c r="P222" s="76"/>
      <c r="Q222" s="76"/>
      <c r="R222" s="76"/>
      <c r="S222" s="76"/>
      <c r="T222" s="76"/>
      <c r="U222" s="76"/>
      <c r="V222" s="76"/>
      <c r="W222" s="110"/>
    </row>
    <row r="223" spans="1:23" ht="15" x14ac:dyDescent="0.2">
      <c r="A223" s="92" t="s">
        <v>31</v>
      </c>
      <c r="B223" s="112">
        <f>(J177-B177)/50</f>
        <v>9.3998941739685451E-4</v>
      </c>
      <c r="C223" s="140">
        <f t="shared" si="47"/>
        <v>-6.9696419408520498</v>
      </c>
      <c r="D223" s="76"/>
      <c r="E223" s="76"/>
      <c r="F223" s="76"/>
      <c r="G223" s="76"/>
      <c r="H223" s="76"/>
      <c r="I223" s="76"/>
      <c r="J223" s="76"/>
      <c r="K223" s="76"/>
      <c r="L223" s="76"/>
      <c r="M223" s="76"/>
      <c r="N223" s="76"/>
      <c r="O223" s="76"/>
      <c r="P223" s="76"/>
      <c r="Q223" s="76"/>
      <c r="R223" s="76"/>
      <c r="S223" s="76"/>
      <c r="T223" s="76"/>
      <c r="U223" s="76"/>
      <c r="V223" s="76"/>
      <c r="W223" s="110"/>
    </row>
    <row r="224" spans="1:23" ht="15" x14ac:dyDescent="0.2">
      <c r="A224" s="92" t="s">
        <v>32</v>
      </c>
      <c r="B224" s="112">
        <f>(J178-B178)/50</f>
        <v>1.4099841260952818E-3</v>
      </c>
      <c r="C224" s="140">
        <f t="shared" si="47"/>
        <v>-6.5641768327438852</v>
      </c>
      <c r="D224" s="76"/>
      <c r="E224" s="76"/>
      <c r="F224" s="76"/>
      <c r="G224" s="76"/>
      <c r="H224" s="76"/>
      <c r="I224" s="76"/>
      <c r="J224" s="76"/>
      <c r="K224" s="76"/>
      <c r="L224" s="76"/>
      <c r="M224" s="76"/>
      <c r="N224" s="76"/>
      <c r="O224" s="76"/>
      <c r="P224" s="76"/>
      <c r="Q224" s="76"/>
      <c r="R224" s="76"/>
      <c r="S224" s="76"/>
      <c r="T224" s="76"/>
      <c r="U224" s="76"/>
      <c r="V224" s="76"/>
      <c r="W224" s="110"/>
    </row>
    <row r="225" spans="1:23" ht="15" x14ac:dyDescent="0.2">
      <c r="A225" s="92" t="s">
        <v>33</v>
      </c>
      <c r="B225" s="112">
        <f>(J179-B179)/50</f>
        <v>2.490712211420938E-3</v>
      </c>
      <c r="C225" s="140">
        <f t="shared" si="47"/>
        <v>-5.9951865807208184</v>
      </c>
      <c r="D225" s="76"/>
      <c r="E225" s="76"/>
      <c r="F225" s="76"/>
      <c r="G225" s="76"/>
      <c r="H225" s="76"/>
      <c r="I225" s="76"/>
      <c r="J225" s="76"/>
      <c r="K225" s="76"/>
      <c r="L225" s="76"/>
      <c r="M225" s="76"/>
      <c r="N225" s="76"/>
      <c r="O225" s="76"/>
      <c r="P225" s="76"/>
      <c r="Q225" s="76"/>
      <c r="R225" s="76"/>
      <c r="S225" s="76"/>
      <c r="T225" s="76"/>
      <c r="U225" s="76"/>
      <c r="V225" s="76"/>
      <c r="W225" s="110"/>
    </row>
    <row r="226" spans="1:23" ht="15" x14ac:dyDescent="0.2">
      <c r="A226" s="92" t="s">
        <v>34</v>
      </c>
      <c r="B226" s="112">
        <f>(J180-B180)/50</f>
        <v>4.981424422841876E-3</v>
      </c>
      <c r="C226" s="140">
        <f t="shared" si="47"/>
        <v>-5.3020394001608731</v>
      </c>
      <c r="D226" s="76"/>
      <c r="E226" s="76"/>
      <c r="F226" s="76"/>
      <c r="G226" s="76"/>
      <c r="H226" s="76"/>
      <c r="I226" s="76"/>
      <c r="J226" s="76"/>
      <c r="K226" s="76"/>
      <c r="L226" s="76"/>
      <c r="M226" s="76"/>
      <c r="N226" s="76"/>
      <c r="O226" s="76"/>
      <c r="P226" s="76"/>
      <c r="Q226" s="76"/>
      <c r="R226" s="76"/>
      <c r="S226" s="76"/>
      <c r="T226" s="76"/>
      <c r="U226" s="76"/>
      <c r="V226" s="76"/>
      <c r="W226" s="110"/>
    </row>
    <row r="227" spans="1:23" x14ac:dyDescent="0.25">
      <c r="A227" s="92" t="s">
        <v>35</v>
      </c>
      <c r="B227" s="112">
        <f>(J181-B181)/50</f>
        <v>5.8861708312044573E-3</v>
      </c>
      <c r="C227" s="140">
        <f t="shared" si="47"/>
        <v>-5.1351496062817183</v>
      </c>
      <c r="D227" s="76"/>
      <c r="E227" s="76"/>
      <c r="F227" s="76"/>
      <c r="G227" s="76"/>
      <c r="H227" s="76"/>
      <c r="I227" s="76"/>
      <c r="J227" s="76"/>
      <c r="K227" s="76"/>
      <c r="L227" s="76"/>
      <c r="M227" s="76"/>
      <c r="N227" s="76"/>
      <c r="O227" s="76"/>
      <c r="P227" s="76"/>
      <c r="Q227" s="76"/>
      <c r="R227" s="76"/>
      <c r="S227" s="76"/>
      <c r="T227" s="76"/>
      <c r="U227" s="76"/>
      <c r="V227" s="76"/>
      <c r="W227" s="113"/>
    </row>
    <row r="228" spans="1:23" ht="15" x14ac:dyDescent="0.2">
      <c r="A228" s="92" t="s">
        <v>36</v>
      </c>
      <c r="B228" s="112">
        <f>(J182-B182)/50</f>
        <v>7.8482277749392787E-3</v>
      </c>
      <c r="C228" s="140">
        <f t="shared" si="47"/>
        <v>-4.8474675338299376</v>
      </c>
      <c r="D228" s="76"/>
      <c r="E228" s="76"/>
      <c r="F228" s="76"/>
      <c r="G228" s="76"/>
      <c r="H228" s="76"/>
      <c r="I228" s="76"/>
      <c r="J228" s="76"/>
      <c r="K228" s="76"/>
      <c r="L228" s="76"/>
      <c r="M228" s="76"/>
      <c r="N228" s="76"/>
      <c r="O228" s="76"/>
      <c r="P228" s="76"/>
      <c r="Q228" s="76"/>
      <c r="R228" s="76"/>
      <c r="S228" s="76"/>
      <c r="T228" s="76"/>
      <c r="U228" s="76"/>
      <c r="V228" s="76"/>
      <c r="W228" s="110"/>
    </row>
    <row r="229" spans="1:23" ht="15" x14ac:dyDescent="0.2">
      <c r="A229" s="92" t="s">
        <v>37</v>
      </c>
      <c r="B229" s="112">
        <f>(J183-B183)/50</f>
        <v>1.1772341662408915E-2</v>
      </c>
      <c r="C229" s="140">
        <f t="shared" si="47"/>
        <v>-4.4420024257217738</v>
      </c>
      <c r="D229" s="76"/>
      <c r="E229" s="76"/>
      <c r="F229" s="76"/>
      <c r="G229" s="76"/>
      <c r="H229" s="76"/>
      <c r="I229" s="76"/>
      <c r="J229" s="76"/>
      <c r="K229" s="76"/>
      <c r="L229" s="76"/>
      <c r="M229" s="76"/>
      <c r="N229" s="76"/>
      <c r="O229" s="76"/>
      <c r="P229" s="76"/>
      <c r="Q229" s="76"/>
      <c r="R229" s="76"/>
      <c r="S229" s="76"/>
      <c r="T229" s="76"/>
      <c r="U229" s="76"/>
      <c r="V229" s="76"/>
      <c r="W229" s="110"/>
    </row>
    <row r="230" spans="1:23" ht="15" x14ac:dyDescent="0.2">
      <c r="A230" s="92" t="s">
        <v>38</v>
      </c>
      <c r="B230" s="112">
        <f>(J184-B184)/50</f>
        <v>2.0138586351338944E-2</v>
      </c>
      <c r="C230" s="140">
        <f t="shared" si="47"/>
        <v>-3.9051175852506161</v>
      </c>
      <c r="D230" s="76"/>
      <c r="E230" s="76"/>
      <c r="F230" s="76"/>
      <c r="G230" s="76"/>
      <c r="H230" s="76"/>
      <c r="I230" s="76"/>
      <c r="J230" s="76"/>
      <c r="K230" s="76"/>
      <c r="L230" s="76"/>
      <c r="M230" s="76"/>
      <c r="N230" s="76"/>
      <c r="O230" s="76"/>
      <c r="P230" s="76"/>
      <c r="Q230" s="76"/>
      <c r="R230" s="76"/>
      <c r="S230" s="76"/>
      <c r="T230" s="76"/>
      <c r="U230" s="76"/>
      <c r="V230" s="76"/>
      <c r="W230" s="110"/>
    </row>
    <row r="231" spans="1:23" x14ac:dyDescent="0.25">
      <c r="A231" s="116"/>
      <c r="B231" s="117"/>
      <c r="C231" s="73"/>
      <c r="D231" s="76"/>
      <c r="E231" s="76"/>
      <c r="F231" s="76"/>
      <c r="G231" s="76"/>
      <c r="H231" s="76"/>
      <c r="I231" s="76"/>
      <c r="J231" s="76"/>
      <c r="K231" s="76"/>
      <c r="L231" s="76"/>
      <c r="M231" s="76"/>
      <c r="N231" s="76"/>
      <c r="O231" s="76"/>
      <c r="P231" s="76"/>
      <c r="Q231" s="76"/>
      <c r="R231" s="76"/>
      <c r="S231" s="76"/>
      <c r="T231" s="76"/>
      <c r="U231" s="76"/>
      <c r="V231" s="76"/>
      <c r="W231" s="113"/>
    </row>
    <row r="232" spans="1:23" ht="15" x14ac:dyDescent="0.2">
      <c r="A232" s="116"/>
      <c r="B232" s="117"/>
      <c r="C232" s="73"/>
      <c r="D232" s="76"/>
      <c r="E232" s="76"/>
      <c r="F232" s="76"/>
      <c r="G232" s="76"/>
      <c r="H232" s="76"/>
      <c r="I232" s="76"/>
      <c r="J232" s="76"/>
      <c r="K232" s="76"/>
      <c r="L232" s="76"/>
      <c r="M232" s="76"/>
      <c r="N232" s="76"/>
      <c r="O232" s="76"/>
      <c r="P232" s="76"/>
      <c r="Q232" s="76"/>
      <c r="R232" s="76"/>
      <c r="S232" s="76"/>
      <c r="T232" s="76"/>
      <c r="U232" s="76"/>
      <c r="V232" s="76"/>
      <c r="W232" s="110"/>
    </row>
    <row r="233" spans="1:23" ht="15" x14ac:dyDescent="0.2">
      <c r="A233" s="116"/>
      <c r="B233" s="117"/>
      <c r="C233" s="73"/>
      <c r="D233" s="76"/>
      <c r="E233" s="76"/>
      <c r="F233" s="76"/>
      <c r="G233" s="76"/>
      <c r="H233" s="76"/>
      <c r="I233" s="76"/>
      <c r="J233" s="76"/>
      <c r="K233" s="76"/>
      <c r="L233" s="76"/>
      <c r="M233" s="76"/>
      <c r="N233" s="76"/>
      <c r="O233" s="76"/>
      <c r="P233" s="76"/>
      <c r="Q233" s="76"/>
      <c r="R233" s="76"/>
      <c r="S233" s="76"/>
      <c r="T233" s="76"/>
      <c r="U233" s="76"/>
      <c r="V233" s="76"/>
      <c r="W233" s="110"/>
    </row>
    <row r="234" spans="1:23" ht="15" x14ac:dyDescent="0.2">
      <c r="A234" s="116"/>
      <c r="B234" s="117"/>
      <c r="C234" s="73"/>
      <c r="D234" s="76"/>
      <c r="E234" s="76"/>
      <c r="F234" s="76"/>
      <c r="G234" s="76"/>
      <c r="H234" s="76"/>
      <c r="I234" s="76"/>
      <c r="J234" s="76"/>
      <c r="K234" s="76"/>
      <c r="L234" s="76"/>
      <c r="M234" s="76"/>
      <c r="N234" s="76"/>
      <c r="O234" s="76"/>
      <c r="P234" s="76"/>
      <c r="Q234" s="76"/>
      <c r="R234" s="76"/>
      <c r="S234" s="76"/>
      <c r="T234" s="76"/>
      <c r="U234" s="76"/>
      <c r="V234" s="76"/>
      <c r="W234" s="110"/>
    </row>
    <row r="235" spans="1:23" ht="15" x14ac:dyDescent="0.2">
      <c r="A235" s="116"/>
      <c r="B235" s="117"/>
      <c r="C235" s="73"/>
      <c r="D235" s="76"/>
      <c r="E235" s="76"/>
      <c r="F235" s="76"/>
      <c r="G235" s="76"/>
      <c r="H235" s="76"/>
      <c r="I235" s="76"/>
      <c r="J235" s="76"/>
      <c r="K235" s="76"/>
      <c r="L235" s="76"/>
      <c r="M235" s="76"/>
      <c r="N235" s="76"/>
      <c r="O235" s="76"/>
      <c r="P235" s="76"/>
      <c r="Q235" s="76"/>
      <c r="R235" s="76"/>
      <c r="S235" s="76"/>
      <c r="T235" s="76"/>
      <c r="U235" s="76"/>
      <c r="V235" s="76"/>
      <c r="W235" s="114"/>
    </row>
    <row r="236" spans="1:23" ht="15" x14ac:dyDescent="0.2">
      <c r="A236" s="116"/>
      <c r="B236" s="117"/>
      <c r="C236" s="73"/>
      <c r="D236" s="76"/>
      <c r="E236" s="76"/>
      <c r="F236" s="76"/>
      <c r="G236" s="76"/>
      <c r="H236" s="76"/>
      <c r="I236" s="76"/>
      <c r="J236" s="76"/>
      <c r="K236" s="76"/>
      <c r="L236" s="76"/>
      <c r="M236" s="76"/>
      <c r="N236" s="76"/>
      <c r="O236" s="76"/>
      <c r="P236" s="76"/>
      <c r="Q236" s="76"/>
      <c r="R236" s="76"/>
      <c r="S236" s="76"/>
      <c r="T236" s="76"/>
      <c r="U236" s="76"/>
      <c r="V236" s="76"/>
      <c r="W236" s="114"/>
    </row>
    <row r="237" spans="1:23" ht="15" x14ac:dyDescent="0.2">
      <c r="A237" s="116"/>
      <c r="B237" s="117"/>
      <c r="C237" s="73"/>
      <c r="D237" s="76"/>
      <c r="E237" s="76"/>
      <c r="F237" s="76"/>
      <c r="G237" s="76"/>
      <c r="H237" s="76"/>
      <c r="I237" s="76"/>
      <c r="J237" s="76"/>
      <c r="K237" s="76"/>
      <c r="L237" s="76"/>
      <c r="M237" s="76"/>
      <c r="N237" s="76"/>
      <c r="O237" s="76"/>
      <c r="P237" s="76"/>
      <c r="Q237" s="76"/>
      <c r="R237" s="76"/>
      <c r="S237" s="76"/>
      <c r="T237" s="76"/>
      <c r="U237" s="76"/>
      <c r="V237" s="76"/>
      <c r="W237" s="115"/>
    </row>
    <row r="238" spans="1:23" ht="15" x14ac:dyDescent="0.2">
      <c r="A238" s="116"/>
      <c r="B238" s="117"/>
      <c r="C238" s="73"/>
      <c r="D238" s="76"/>
      <c r="E238" s="76"/>
      <c r="F238" s="76"/>
      <c r="G238" s="76"/>
      <c r="H238" s="76"/>
      <c r="I238" s="76"/>
      <c r="J238" s="76"/>
      <c r="K238" s="76"/>
      <c r="L238" s="76"/>
      <c r="M238" s="76"/>
      <c r="N238" s="76"/>
      <c r="O238" s="76"/>
      <c r="P238" s="76"/>
      <c r="Q238" s="76"/>
      <c r="R238" s="76"/>
      <c r="S238" s="76"/>
      <c r="T238" s="76"/>
      <c r="U238" s="76"/>
      <c r="V238" s="76"/>
      <c r="W238" s="115"/>
    </row>
    <row r="239" spans="1:23" ht="15" x14ac:dyDescent="0.2">
      <c r="A239" s="116"/>
      <c r="B239" s="117"/>
      <c r="C239" s="73"/>
      <c r="D239" s="76"/>
      <c r="E239" s="76"/>
      <c r="F239" s="76"/>
      <c r="G239" s="76"/>
      <c r="H239" s="76"/>
      <c r="I239" s="76"/>
      <c r="J239" s="76"/>
      <c r="K239" s="76"/>
      <c r="L239" s="76"/>
      <c r="M239" s="76"/>
      <c r="N239" s="76"/>
      <c r="O239" s="76"/>
      <c r="P239" s="76"/>
      <c r="Q239" s="76"/>
      <c r="R239" s="76"/>
      <c r="S239" s="76"/>
      <c r="T239" s="76"/>
      <c r="U239" s="76"/>
      <c r="V239" s="76"/>
      <c r="W239" s="110"/>
    </row>
    <row r="240" spans="1:23" ht="15" x14ac:dyDescent="0.2">
      <c r="A240" s="116"/>
      <c r="B240" s="117"/>
      <c r="C240" s="73"/>
      <c r="D240" s="76"/>
      <c r="E240" s="76"/>
      <c r="F240" s="76"/>
      <c r="G240" s="76"/>
      <c r="H240" s="76"/>
      <c r="I240" s="76"/>
      <c r="J240" s="76"/>
      <c r="K240" s="76"/>
      <c r="L240" s="76"/>
      <c r="M240" s="76"/>
      <c r="N240" s="76"/>
      <c r="O240" s="76"/>
      <c r="P240" s="76"/>
      <c r="Q240" s="76"/>
      <c r="R240" s="76"/>
      <c r="S240" s="76"/>
      <c r="T240" s="76"/>
      <c r="U240" s="76"/>
      <c r="V240" s="76"/>
      <c r="W240" s="48"/>
    </row>
    <row r="241" spans="1:23" ht="16.5" thickBot="1" x14ac:dyDescent="0.3">
      <c r="A241" s="116"/>
      <c r="B241" s="117"/>
      <c r="C241" s="73"/>
      <c r="D241" s="76"/>
      <c r="E241" s="76"/>
      <c r="F241" s="76"/>
      <c r="G241" s="76"/>
      <c r="H241" s="76"/>
      <c r="I241" s="76"/>
      <c r="J241" s="76"/>
      <c r="K241" s="76"/>
      <c r="L241" s="76"/>
      <c r="M241" s="76"/>
      <c r="N241" s="76"/>
      <c r="O241" s="76"/>
      <c r="P241" s="76"/>
      <c r="Q241" s="76"/>
      <c r="R241" s="76"/>
      <c r="S241" s="76"/>
      <c r="T241" s="76"/>
      <c r="U241" s="76"/>
      <c r="V241" s="76"/>
      <c r="W241" s="25"/>
    </row>
    <row r="242" spans="1:23" ht="16.5" thickBot="1" x14ac:dyDescent="0.3">
      <c r="A242" s="1" t="s">
        <v>56</v>
      </c>
      <c r="B242" s="117"/>
      <c r="C242" s="73"/>
      <c r="D242" s="76"/>
      <c r="E242" s="76"/>
      <c r="F242" s="76"/>
      <c r="G242" s="76"/>
      <c r="H242" s="76"/>
      <c r="I242" s="76"/>
      <c r="J242" s="76" t="str">
        <f>"ln(cost) =" &amp;L242 &amp; "ln(SOQ)+ " &amp; N242</f>
        <v>ln(cost) =-0.84ln(SOQ)+ 7.67</v>
      </c>
      <c r="K242" s="76"/>
      <c r="L242" s="136">
        <f>ROUND(SLOPE(C217:C230,E$152:E$165),2)</f>
        <v>-0.84</v>
      </c>
      <c r="M242" s="100"/>
      <c r="N242" s="135">
        <f>ROUND(INTERCEPT(C217:C230,E$152:E$165),2)</f>
        <v>7.67</v>
      </c>
      <c r="O242" s="76"/>
      <c r="P242" s="76"/>
      <c r="Q242" s="76"/>
      <c r="R242" s="76"/>
      <c r="S242" s="76"/>
      <c r="T242" s="76"/>
      <c r="U242" s="76"/>
      <c r="V242" s="76"/>
      <c r="W242" s="25"/>
    </row>
    <row r="243" spans="1:23" ht="16.5" thickBot="1" x14ac:dyDescent="0.3">
      <c r="A243" s="116"/>
      <c r="B243" s="117"/>
      <c r="D243" s="76"/>
      <c r="E243" s="76"/>
      <c r="F243" s="76"/>
      <c r="G243" s="76"/>
      <c r="H243" s="76"/>
      <c r="I243" s="76"/>
      <c r="J243" s="80" t="str">
        <f>"Cost =SOQ^" &amp; L242 &amp; " * e^" &amp; N242</f>
        <v>Cost =SOQ^-0.84 * e^7.67</v>
      </c>
      <c r="K243" s="80"/>
      <c r="L243" s="134"/>
      <c r="N243" s="80"/>
      <c r="O243" s="76"/>
      <c r="P243" s="76"/>
      <c r="Q243" s="76"/>
      <c r="R243" s="76"/>
      <c r="S243" s="76"/>
      <c r="T243" s="76"/>
      <c r="U243" s="76"/>
      <c r="V243" s="76"/>
      <c r="W243" s="25"/>
    </row>
    <row r="244" spans="1:23" ht="16.5" thickBot="1" x14ac:dyDescent="0.3">
      <c r="A244" s="116"/>
      <c r="B244" s="117"/>
      <c r="D244" s="76"/>
      <c r="E244" s="76"/>
      <c r="F244" s="76"/>
      <c r="G244" s="76"/>
      <c r="H244" s="76"/>
      <c r="I244" s="76"/>
      <c r="J244" s="79" t="str">
        <f>"Cost =SOQ^"&amp;L242&amp;" *" &amp; L244</f>
        <v>Cost =SOQ^-0.84 *2143.08</v>
      </c>
      <c r="K244" s="80"/>
      <c r="L244" s="102">
        <f>ROUND(EXP(N242),2)</f>
        <v>2143.08</v>
      </c>
      <c r="M244" s="103" t="s">
        <v>55</v>
      </c>
      <c r="O244" s="76"/>
      <c r="P244" s="76"/>
      <c r="Q244" s="76"/>
      <c r="R244" s="76"/>
      <c r="S244" s="76"/>
      <c r="T244" s="76"/>
      <c r="U244" s="76"/>
      <c r="V244" s="76"/>
      <c r="W244" s="25"/>
    </row>
    <row r="245" spans="1:23" x14ac:dyDescent="0.25">
      <c r="A245" s="116"/>
      <c r="B245" s="117"/>
      <c r="D245" s="76"/>
      <c r="E245" s="76"/>
      <c r="F245" s="76"/>
      <c r="G245" s="76"/>
      <c r="H245" s="76"/>
      <c r="I245" s="76"/>
      <c r="J245" s="105"/>
      <c r="K245" s="76"/>
      <c r="L245" s="76"/>
      <c r="M245" s="76"/>
      <c r="O245" s="76"/>
      <c r="P245" s="76"/>
      <c r="Q245" s="76"/>
      <c r="R245" s="76"/>
      <c r="S245" s="76"/>
      <c r="T245" s="76"/>
      <c r="U245" s="76"/>
      <c r="V245" s="76"/>
      <c r="W245" s="3"/>
    </row>
    <row r="246" spans="1:23" x14ac:dyDescent="0.25">
      <c r="A246" s="4"/>
      <c r="D246" s="76"/>
      <c r="E246" s="76"/>
      <c r="F246" s="76"/>
      <c r="G246" s="76"/>
      <c r="H246" s="76"/>
      <c r="I246" s="76"/>
      <c r="J246" s="76"/>
      <c r="K246" s="76"/>
      <c r="L246" s="76"/>
      <c r="M246" s="76"/>
      <c r="N246" s="76"/>
      <c r="O246" s="76"/>
      <c r="P246" s="76"/>
      <c r="Q246" s="76"/>
      <c r="R246" s="76"/>
      <c r="S246" s="76"/>
      <c r="T246" s="76"/>
      <c r="U246" s="76"/>
      <c r="V246" s="76"/>
      <c r="W246" s="3"/>
    </row>
    <row r="247" spans="1:23" x14ac:dyDescent="0.25">
      <c r="A247" s="4"/>
      <c r="D247" s="76"/>
      <c r="E247" s="76"/>
      <c r="F247" s="76"/>
      <c r="G247" s="76"/>
      <c r="H247" s="76"/>
      <c r="I247" s="76"/>
      <c r="J247" s="76"/>
      <c r="K247" s="76"/>
      <c r="L247" s="76"/>
      <c r="M247" s="76"/>
      <c r="N247" s="76"/>
      <c r="O247" s="76"/>
      <c r="P247" s="76"/>
      <c r="Q247" s="76"/>
      <c r="R247" s="76"/>
      <c r="S247" s="76"/>
      <c r="T247" s="76"/>
      <c r="U247" s="76"/>
      <c r="V247" s="76"/>
      <c r="W247" s="3"/>
    </row>
    <row r="248" spans="1:23" x14ac:dyDescent="0.25">
      <c r="A248" s="4"/>
      <c r="D248" s="76"/>
      <c r="E248" s="76"/>
      <c r="F248" s="76"/>
      <c r="G248" s="76"/>
      <c r="H248" s="76"/>
      <c r="I248" s="76"/>
      <c r="J248" s="76"/>
      <c r="K248" s="76"/>
      <c r="L248" s="76"/>
      <c r="M248" s="76"/>
      <c r="N248" s="76"/>
      <c r="O248" s="76"/>
      <c r="P248" s="76"/>
      <c r="Q248" s="76"/>
      <c r="R248" s="76"/>
      <c r="S248" s="76"/>
      <c r="T248" s="76"/>
      <c r="U248" s="76"/>
      <c r="V248" s="76"/>
      <c r="W248" s="3"/>
    </row>
    <row r="249" spans="1:23" x14ac:dyDescent="0.25">
      <c r="A249" s="4"/>
      <c r="D249" s="76"/>
      <c r="E249" s="76"/>
      <c r="F249" s="76"/>
      <c r="G249" s="76"/>
      <c r="H249" s="76"/>
      <c r="I249" s="76"/>
      <c r="J249" s="76"/>
      <c r="K249" s="76"/>
      <c r="L249" s="76"/>
      <c r="M249" s="76"/>
      <c r="N249" s="76"/>
      <c r="O249" s="76"/>
      <c r="P249" s="76"/>
      <c r="Q249" s="76"/>
      <c r="R249" s="76"/>
      <c r="S249" s="76"/>
      <c r="T249" s="76"/>
      <c r="U249" s="76"/>
      <c r="V249" s="76"/>
      <c r="W249" s="3"/>
    </row>
    <row r="250" spans="1:23" x14ac:dyDescent="0.25">
      <c r="A250" s="4"/>
      <c r="D250" s="76"/>
      <c r="E250" s="76"/>
      <c r="F250" s="76"/>
      <c r="G250" s="76"/>
      <c r="H250" s="76"/>
      <c r="I250" s="76"/>
      <c r="J250" s="76"/>
      <c r="K250" s="76"/>
      <c r="L250" s="76"/>
      <c r="M250" s="76"/>
      <c r="N250" s="76"/>
      <c r="O250" s="76"/>
      <c r="P250" s="76"/>
      <c r="Q250" s="76"/>
      <c r="R250" s="76"/>
      <c r="S250" s="76"/>
      <c r="T250" s="76"/>
      <c r="U250" s="76"/>
      <c r="V250" s="76"/>
      <c r="W250" s="3"/>
    </row>
    <row r="251" spans="1:23" x14ac:dyDescent="0.25">
      <c r="A251" s="4"/>
      <c r="D251" s="76"/>
      <c r="E251" s="76"/>
      <c r="F251" s="76"/>
      <c r="G251" s="76"/>
      <c r="H251" s="76"/>
      <c r="I251" s="76"/>
      <c r="J251" s="76"/>
      <c r="K251" s="76"/>
      <c r="L251" s="76"/>
      <c r="M251" s="76"/>
      <c r="N251" s="76"/>
      <c r="O251" s="76"/>
      <c r="P251" s="76"/>
      <c r="Q251" s="76"/>
      <c r="R251" s="76"/>
      <c r="S251" s="76"/>
      <c r="T251" s="76"/>
      <c r="U251" s="76"/>
      <c r="V251" s="76"/>
      <c r="W251" s="3"/>
    </row>
    <row r="252" spans="1:23" x14ac:dyDescent="0.25">
      <c r="A252" s="4"/>
      <c r="D252" s="76"/>
      <c r="E252" s="76"/>
      <c r="F252" s="76"/>
      <c r="G252" s="76"/>
      <c r="H252" s="76"/>
      <c r="I252" s="76"/>
      <c r="J252" s="76"/>
      <c r="K252" s="76"/>
      <c r="L252" s="76"/>
      <c r="M252" s="76"/>
      <c r="N252" s="76"/>
      <c r="O252" s="76"/>
      <c r="P252" s="76"/>
      <c r="Q252" s="76"/>
      <c r="R252" s="76"/>
      <c r="S252" s="76"/>
      <c r="T252" s="76"/>
      <c r="U252" s="76"/>
      <c r="V252" s="76"/>
      <c r="W252" s="3"/>
    </row>
    <row r="253" spans="1:23" x14ac:dyDescent="0.25">
      <c r="J253" s="76"/>
      <c r="K253" s="76"/>
      <c r="L253" s="76"/>
      <c r="M253" s="76"/>
      <c r="N253" s="76"/>
      <c r="O253" s="76"/>
      <c r="P253" s="76"/>
      <c r="Q253" s="76"/>
      <c r="R253" s="76"/>
      <c r="S253" s="76"/>
      <c r="T253" s="76"/>
      <c r="U253" s="76"/>
      <c r="V253" s="76"/>
      <c r="W253" s="3"/>
    </row>
    <row r="254" spans="1:23" ht="16.5" thickBot="1" x14ac:dyDescent="0.3">
      <c r="A254" s="4"/>
      <c r="J254" s="76"/>
      <c r="K254" s="76"/>
      <c r="L254" s="76"/>
      <c r="M254" s="76"/>
      <c r="N254" s="76"/>
      <c r="O254" s="76"/>
      <c r="P254" s="76"/>
      <c r="Q254" s="76"/>
      <c r="R254" s="76"/>
      <c r="S254" s="76"/>
      <c r="T254" s="76"/>
      <c r="U254" s="76"/>
      <c r="V254" s="76"/>
      <c r="W254" s="3"/>
    </row>
    <row r="255" spans="1:23" x14ac:dyDescent="0.25">
      <c r="A255" s="4"/>
      <c r="E255" s="118"/>
      <c r="F255" s="119"/>
      <c r="G255" s="119"/>
      <c r="H255" s="119"/>
      <c r="I255" s="119"/>
      <c r="J255" s="119"/>
      <c r="K255" s="119"/>
      <c r="L255" s="120"/>
      <c r="M255" s="76"/>
      <c r="N255" s="76"/>
      <c r="O255" s="76"/>
      <c r="P255" s="76"/>
      <c r="S255" s="76"/>
      <c r="T255" s="76"/>
      <c r="U255" s="76"/>
      <c r="V255" s="76"/>
      <c r="W255" s="3"/>
    </row>
    <row r="256" spans="1:23" x14ac:dyDescent="0.25">
      <c r="A256" s="4"/>
      <c r="E256" s="121"/>
      <c r="F256" s="110"/>
      <c r="G256" s="110"/>
      <c r="H256" s="110"/>
      <c r="I256" s="110"/>
      <c r="J256" s="110"/>
      <c r="K256" s="110"/>
      <c r="L256" s="122"/>
      <c r="M256" s="76"/>
      <c r="S256" s="76"/>
      <c r="T256" s="76"/>
      <c r="U256" s="76"/>
      <c r="V256" s="76"/>
      <c r="W256" s="3"/>
    </row>
    <row r="257" spans="1:23" x14ac:dyDescent="0.25">
      <c r="A257" s="4"/>
      <c r="E257" s="121"/>
      <c r="F257" s="110"/>
      <c r="G257" s="110"/>
      <c r="H257" s="110"/>
      <c r="I257" s="110"/>
      <c r="J257" s="110"/>
      <c r="K257" s="110"/>
      <c r="L257" s="122"/>
      <c r="M257" s="76"/>
      <c r="S257" s="76"/>
      <c r="T257" s="76"/>
      <c r="U257" s="76"/>
      <c r="V257" s="76"/>
      <c r="W257" s="3"/>
    </row>
    <row r="258" spans="1:23" ht="34.5" x14ac:dyDescent="0.45">
      <c r="A258" s="4"/>
      <c r="E258" s="46"/>
      <c r="F258" s="123" t="str">
        <f xml:space="preserve"> L244 &amp; "*[(SOQ)" &amp;L242 &amp; "] *D+" &amp;L216 &amp; "*(SOQ)" &amp;L214</f>
        <v>2143.08*[(SOQ)-0.84] *D+626.41*(SOQ)-0.65</v>
      </c>
      <c r="G258" s="124"/>
      <c r="H258" s="124"/>
      <c r="I258" s="110"/>
      <c r="J258" s="110"/>
      <c r="K258" s="110"/>
      <c r="L258" s="122"/>
      <c r="M258" s="76"/>
      <c r="Q258" s="76"/>
      <c r="R258" s="76"/>
      <c r="S258" s="76"/>
      <c r="T258" s="76"/>
      <c r="U258" s="76"/>
      <c r="V258" s="76"/>
      <c r="W258" s="3"/>
    </row>
    <row r="259" spans="1:23" ht="34.5" x14ac:dyDescent="0.45">
      <c r="A259" s="4"/>
      <c r="E259" s="46"/>
      <c r="F259" s="124"/>
      <c r="G259" s="124"/>
      <c r="H259" s="124"/>
      <c r="I259" s="110"/>
      <c r="J259" s="110"/>
      <c r="K259" s="110"/>
      <c r="L259" s="122"/>
      <c r="M259" s="76"/>
      <c r="N259" s="76"/>
      <c r="O259" s="76"/>
      <c r="P259" s="76"/>
      <c r="Q259" s="76"/>
      <c r="R259" s="76"/>
      <c r="S259" s="76"/>
      <c r="T259" s="76"/>
      <c r="U259" s="76"/>
      <c r="V259" s="76"/>
      <c r="W259" s="77"/>
    </row>
    <row r="260" spans="1:23" x14ac:dyDescent="0.25">
      <c r="A260" s="4"/>
      <c r="B260" s="127"/>
      <c r="C260" s="24"/>
      <c r="E260" s="46"/>
      <c r="F260" s="110"/>
      <c r="G260" s="110"/>
      <c r="H260" s="110"/>
      <c r="I260" s="110"/>
      <c r="J260" s="110"/>
      <c r="K260" s="110"/>
      <c r="L260" s="122"/>
      <c r="M260" s="76"/>
      <c r="N260" s="76"/>
      <c r="O260" s="76"/>
      <c r="P260" s="76"/>
      <c r="Q260" s="76"/>
      <c r="R260" s="76"/>
      <c r="S260" s="76"/>
      <c r="T260" s="76"/>
      <c r="U260" s="76"/>
      <c r="V260" s="76"/>
      <c r="W260" s="76"/>
    </row>
    <row r="261" spans="1:23" ht="15" x14ac:dyDescent="0.2">
      <c r="A261" s="4"/>
      <c r="C261" s="128"/>
      <c r="D261" s="76"/>
      <c r="E261" s="46"/>
      <c r="F261" s="110"/>
      <c r="G261" s="110"/>
      <c r="H261" s="110"/>
      <c r="I261" s="110"/>
      <c r="J261" s="110"/>
      <c r="K261" s="110"/>
      <c r="L261" s="122"/>
      <c r="M261" s="76"/>
      <c r="N261" s="76"/>
      <c r="O261" s="76"/>
      <c r="P261" s="76"/>
    </row>
    <row r="262" spans="1:23" thickBot="1" x14ac:dyDescent="0.25">
      <c r="A262" s="4"/>
      <c r="E262" s="125"/>
      <c r="F262" s="126"/>
      <c r="G262" s="126"/>
      <c r="H262" s="126"/>
      <c r="I262" s="126"/>
      <c r="J262" s="126"/>
      <c r="K262" s="126"/>
      <c r="L262" s="68"/>
    </row>
    <row r="264" spans="1:23" x14ac:dyDescent="0.25">
      <c r="F264" s="59"/>
      <c r="G264" s="59"/>
    </row>
    <row r="265" spans="1:23" x14ac:dyDescent="0.25">
      <c r="F265" s="59"/>
      <c r="G265" s="59"/>
    </row>
    <row r="266" spans="1:23" x14ac:dyDescent="0.25">
      <c r="F266" s="59"/>
      <c r="G266" s="59"/>
    </row>
    <row r="267" spans="1:23" x14ac:dyDescent="0.25">
      <c r="E267" s="7"/>
      <c r="F267" s="59"/>
      <c r="G267" s="59"/>
    </row>
    <row r="268" spans="1:23" x14ac:dyDescent="0.25">
      <c r="E268" s="7"/>
      <c r="F268" s="59"/>
      <c r="G268" s="59"/>
    </row>
    <row r="269" spans="1:23" x14ac:dyDescent="0.25">
      <c r="F269" s="59"/>
      <c r="G269" s="59"/>
    </row>
    <row r="270" spans="1:23" x14ac:dyDescent="0.25">
      <c r="G270" s="59"/>
    </row>
    <row r="271" spans="1:23" x14ac:dyDescent="0.25">
      <c r="F271" s="59"/>
      <c r="G271" s="59"/>
    </row>
    <row r="272" spans="1:23" x14ac:dyDescent="0.25">
      <c r="F272" s="59"/>
      <c r="G272" s="59"/>
    </row>
    <row r="275" spans="6:7" x14ac:dyDescent="0.25">
      <c r="F275" s="7"/>
      <c r="G275" s="7"/>
    </row>
    <row r="280" spans="6:7" x14ac:dyDescent="0.25">
      <c r="F280" s="7"/>
      <c r="G280" s="7"/>
    </row>
  </sheetData>
  <mergeCells count="1">
    <mergeCell ref="B55:C5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55"/>
  <sheetViews>
    <sheetView topLeftCell="A532" workbookViewId="0">
      <selection activeCell="D554" sqref="D554"/>
    </sheetView>
  </sheetViews>
  <sheetFormatPr defaultRowHeight="15" x14ac:dyDescent="0.25"/>
  <cols>
    <col min="1" max="1" width="16" bestFit="1" customWidth="1"/>
    <col min="5" max="5" width="9.85546875" customWidth="1"/>
  </cols>
  <sheetData>
    <row r="1" spans="1:7" x14ac:dyDescent="0.25">
      <c r="A1" s="129" t="s">
        <v>57</v>
      </c>
      <c r="B1" s="129" t="s">
        <v>58</v>
      </c>
      <c r="F1" t="s">
        <v>623</v>
      </c>
      <c r="G1" s="137" t="s">
        <v>624</v>
      </c>
    </row>
    <row r="2" spans="1:7" x14ac:dyDescent="0.25">
      <c r="A2" s="129" t="s">
        <v>59</v>
      </c>
      <c r="B2" s="129" t="s">
        <v>60</v>
      </c>
    </row>
    <row r="3" spans="1:7" x14ac:dyDescent="0.25">
      <c r="A3" s="129" t="s">
        <v>61</v>
      </c>
      <c r="B3" s="129" t="s">
        <v>62</v>
      </c>
    </row>
    <row r="4" spans="1:7" x14ac:dyDescent="0.25">
      <c r="A4" s="129" t="s">
        <v>63</v>
      </c>
      <c r="B4" s="129" t="s">
        <v>64</v>
      </c>
    </row>
    <row r="5" spans="1:7" x14ac:dyDescent="0.25">
      <c r="A5" s="129" t="s">
        <v>65</v>
      </c>
      <c r="B5" s="129" t="s">
        <v>66</v>
      </c>
    </row>
    <row r="6" spans="1:7" x14ac:dyDescent="0.25">
      <c r="A6" s="129" t="s">
        <v>67</v>
      </c>
      <c r="B6" s="129" t="s">
        <v>68</v>
      </c>
    </row>
    <row r="7" spans="1:7" x14ac:dyDescent="0.25">
      <c r="A7" s="129" t="s">
        <v>69</v>
      </c>
      <c r="B7" s="129" t="s">
        <v>70</v>
      </c>
    </row>
    <row r="8" spans="1:7" x14ac:dyDescent="0.25">
      <c r="A8" s="129" t="s">
        <v>71</v>
      </c>
      <c r="B8" s="129"/>
    </row>
    <row r="9" spans="1:7" x14ac:dyDescent="0.25">
      <c r="A9" s="129" t="s">
        <v>72</v>
      </c>
      <c r="B9" s="130">
        <v>101.9</v>
      </c>
    </row>
    <row r="10" spans="1:7" x14ac:dyDescent="0.25">
      <c r="A10" s="129" t="s">
        <v>73</v>
      </c>
      <c r="B10" s="130">
        <v>106.9</v>
      </c>
    </row>
    <row r="11" spans="1:7" x14ac:dyDescent="0.25">
      <c r="A11" s="129" t="s">
        <v>74</v>
      </c>
      <c r="B11" s="130">
        <v>115.2</v>
      </c>
    </row>
    <row r="12" spans="1:7" x14ac:dyDescent="0.25">
      <c r="A12" s="129" t="s">
        <v>75</v>
      </c>
      <c r="B12" s="130">
        <v>126.1</v>
      </c>
    </row>
    <row r="13" spans="1:7" x14ac:dyDescent="0.25">
      <c r="A13" s="129" t="s">
        <v>76</v>
      </c>
      <c r="B13" s="130">
        <v>133.5</v>
      </c>
    </row>
    <row r="14" spans="1:7" x14ac:dyDescent="0.25">
      <c r="A14" s="129" t="s">
        <v>77</v>
      </c>
      <c r="B14" s="130">
        <v>138.5</v>
      </c>
    </row>
    <row r="15" spans="1:7" x14ac:dyDescent="0.25">
      <c r="A15" s="129" t="s">
        <v>78</v>
      </c>
      <c r="B15" s="130">
        <v>140.69999999999999</v>
      </c>
    </row>
    <row r="16" spans="1:7" x14ac:dyDescent="0.25">
      <c r="A16" s="129" t="s">
        <v>79</v>
      </c>
      <c r="B16" s="130">
        <v>144.1</v>
      </c>
    </row>
    <row r="17" spans="1:2" x14ac:dyDescent="0.25">
      <c r="A17" s="129" t="s">
        <v>80</v>
      </c>
      <c r="B17" s="130">
        <v>149.1</v>
      </c>
    </row>
    <row r="18" spans="1:2" x14ac:dyDescent="0.25">
      <c r="A18" s="129" t="s">
        <v>81</v>
      </c>
      <c r="B18" s="130">
        <v>152.69999999999999</v>
      </c>
    </row>
    <row r="19" spans="1:2" x14ac:dyDescent="0.25">
      <c r="A19" s="129" t="s">
        <v>82</v>
      </c>
      <c r="B19" s="130">
        <v>157.5</v>
      </c>
    </row>
    <row r="20" spans="1:2" x14ac:dyDescent="0.25">
      <c r="A20" s="129" t="s">
        <v>83</v>
      </c>
      <c r="B20" s="130">
        <v>162.9</v>
      </c>
    </row>
    <row r="21" spans="1:2" x14ac:dyDescent="0.25">
      <c r="A21" s="129" t="s">
        <v>84</v>
      </c>
      <c r="B21" s="130">
        <v>165.4</v>
      </c>
    </row>
    <row r="22" spans="1:2" x14ac:dyDescent="0.25">
      <c r="A22" s="129" t="s">
        <v>85</v>
      </c>
      <c r="B22" s="130">
        <v>170.3</v>
      </c>
    </row>
    <row r="23" spans="1:2" x14ac:dyDescent="0.25">
      <c r="A23" s="129" t="s">
        <v>86</v>
      </c>
      <c r="B23" s="130">
        <v>173.3</v>
      </c>
    </row>
    <row r="24" spans="1:2" x14ac:dyDescent="0.25">
      <c r="A24" s="129" t="s">
        <v>87</v>
      </c>
      <c r="B24" s="130">
        <v>176.2</v>
      </c>
    </row>
    <row r="25" spans="1:2" x14ac:dyDescent="0.25">
      <c r="A25" s="129" t="s">
        <v>88</v>
      </c>
      <c r="B25" s="130">
        <v>181.3</v>
      </c>
    </row>
    <row r="26" spans="1:2" x14ac:dyDescent="0.25">
      <c r="A26" s="129" t="s">
        <v>89</v>
      </c>
      <c r="B26" s="130">
        <v>186.7</v>
      </c>
    </row>
    <row r="27" spans="1:2" x14ac:dyDescent="0.25">
      <c r="A27" s="129" t="s">
        <v>90</v>
      </c>
      <c r="B27" s="130">
        <v>192</v>
      </c>
    </row>
    <row r="28" spans="1:2" x14ac:dyDescent="0.25">
      <c r="A28" s="129" t="s">
        <v>91</v>
      </c>
      <c r="B28" s="130">
        <v>198.1</v>
      </c>
    </row>
    <row r="29" spans="1:2" x14ac:dyDescent="0.25">
      <c r="A29" s="129" t="s">
        <v>92</v>
      </c>
      <c r="B29" s="130">
        <v>206.6</v>
      </c>
    </row>
    <row r="30" spans="1:2" x14ac:dyDescent="0.25">
      <c r="A30" s="129" t="s">
        <v>93</v>
      </c>
      <c r="B30" s="130">
        <v>214.8</v>
      </c>
    </row>
    <row r="31" spans="1:2" x14ac:dyDescent="0.25">
      <c r="A31" s="129" t="s">
        <v>94</v>
      </c>
      <c r="B31" s="130">
        <v>213.7</v>
      </c>
    </row>
    <row r="32" spans="1:2" x14ac:dyDescent="0.25">
      <c r="A32" s="129" t="s">
        <v>95</v>
      </c>
      <c r="B32" s="130">
        <v>223.6</v>
      </c>
    </row>
    <row r="33" spans="1:2" x14ac:dyDescent="0.25">
      <c r="A33" s="129" t="s">
        <v>96</v>
      </c>
      <c r="B33" s="130">
        <v>235.2</v>
      </c>
    </row>
    <row r="34" spans="1:2" x14ac:dyDescent="0.25">
      <c r="A34" s="129" t="s">
        <v>97</v>
      </c>
      <c r="B34" s="130">
        <v>242.7</v>
      </c>
    </row>
    <row r="35" spans="1:2" x14ac:dyDescent="0.25">
      <c r="A35" s="129" t="s">
        <v>98</v>
      </c>
      <c r="B35" s="130">
        <v>250.1</v>
      </c>
    </row>
    <row r="36" spans="1:2" x14ac:dyDescent="0.25">
      <c r="A36" s="129" t="s">
        <v>99</v>
      </c>
      <c r="B36" s="130">
        <v>256</v>
      </c>
    </row>
    <row r="37" spans="1:2" x14ac:dyDescent="0.25">
      <c r="A37" s="129" t="s">
        <v>100</v>
      </c>
      <c r="B37" s="130">
        <v>258.5</v>
      </c>
    </row>
    <row r="38" spans="1:2" x14ac:dyDescent="0.25">
      <c r="A38" s="129" t="s">
        <v>101</v>
      </c>
      <c r="B38" s="130">
        <v>263.10000000000002</v>
      </c>
    </row>
    <row r="39" spans="1:2" x14ac:dyDescent="0.25">
      <c r="A39" s="129" t="s">
        <v>102</v>
      </c>
      <c r="B39" s="130">
        <v>272.5</v>
      </c>
    </row>
    <row r="40" spans="1:2" x14ac:dyDescent="0.25">
      <c r="A40" s="129" t="s">
        <v>103</v>
      </c>
      <c r="B40" s="130">
        <v>281.60000000000002</v>
      </c>
    </row>
    <row r="41" spans="1:2" x14ac:dyDescent="0.25">
      <c r="A41" s="129" t="s">
        <v>104</v>
      </c>
      <c r="B41" s="130">
        <v>100.3</v>
      </c>
    </row>
    <row r="42" spans="1:2" x14ac:dyDescent="0.25">
      <c r="A42" s="129" t="s">
        <v>105</v>
      </c>
      <c r="B42" s="130">
        <v>101.9</v>
      </c>
    </row>
    <row r="43" spans="1:2" x14ac:dyDescent="0.25">
      <c r="A43" s="129" t="s">
        <v>106</v>
      </c>
      <c r="B43" s="130">
        <v>102.1</v>
      </c>
    </row>
    <row r="44" spans="1:2" x14ac:dyDescent="0.25">
      <c r="A44" s="129" t="s">
        <v>107</v>
      </c>
      <c r="B44" s="130">
        <v>103.2</v>
      </c>
    </row>
    <row r="45" spans="1:2" x14ac:dyDescent="0.25">
      <c r="A45" s="129" t="s">
        <v>108</v>
      </c>
      <c r="B45" s="130">
        <v>103.7</v>
      </c>
    </row>
    <row r="46" spans="1:2" x14ac:dyDescent="0.25">
      <c r="A46" s="129" t="s">
        <v>109</v>
      </c>
      <c r="B46" s="130">
        <v>106.2</v>
      </c>
    </row>
    <row r="47" spans="1:2" x14ac:dyDescent="0.25">
      <c r="A47" s="129" t="s">
        <v>110</v>
      </c>
      <c r="B47" s="130">
        <v>107.7</v>
      </c>
    </row>
    <row r="48" spans="1:2" x14ac:dyDescent="0.25">
      <c r="A48" s="129" t="s">
        <v>111</v>
      </c>
      <c r="B48" s="130">
        <v>109.9</v>
      </c>
    </row>
    <row r="49" spans="1:2" x14ac:dyDescent="0.25">
      <c r="A49" s="129" t="s">
        <v>112</v>
      </c>
      <c r="B49" s="130">
        <v>111.7</v>
      </c>
    </row>
    <row r="50" spans="1:2" x14ac:dyDescent="0.25">
      <c r="A50" s="129" t="s">
        <v>113</v>
      </c>
      <c r="B50" s="130">
        <v>114.9</v>
      </c>
    </row>
    <row r="51" spans="1:2" x14ac:dyDescent="0.25">
      <c r="A51" s="129" t="s">
        <v>114</v>
      </c>
      <c r="B51" s="130">
        <v>116</v>
      </c>
    </row>
    <row r="52" spans="1:2" x14ac:dyDescent="0.25">
      <c r="A52" s="129" t="s">
        <v>115</v>
      </c>
      <c r="B52" s="130">
        <v>118.3</v>
      </c>
    </row>
    <row r="53" spans="1:2" x14ac:dyDescent="0.25">
      <c r="A53" s="129" t="s">
        <v>116</v>
      </c>
      <c r="B53" s="130">
        <v>120.4</v>
      </c>
    </row>
    <row r="54" spans="1:2" x14ac:dyDescent="0.25">
      <c r="A54" s="129" t="s">
        <v>117</v>
      </c>
      <c r="B54" s="130">
        <v>126</v>
      </c>
    </row>
    <row r="55" spans="1:2" x14ac:dyDescent="0.25">
      <c r="A55" s="129" t="s">
        <v>118</v>
      </c>
      <c r="B55" s="130">
        <v>128.1</v>
      </c>
    </row>
    <row r="56" spans="1:2" x14ac:dyDescent="0.25">
      <c r="A56" s="129" t="s">
        <v>119</v>
      </c>
      <c r="B56" s="130">
        <v>130.1</v>
      </c>
    </row>
    <row r="57" spans="1:2" x14ac:dyDescent="0.25">
      <c r="A57" s="129" t="s">
        <v>120</v>
      </c>
      <c r="B57" s="130">
        <v>130.80000000000001</v>
      </c>
    </row>
    <row r="58" spans="1:2" x14ac:dyDescent="0.25">
      <c r="A58" s="129" t="s">
        <v>121</v>
      </c>
      <c r="B58" s="130">
        <v>133.6</v>
      </c>
    </row>
    <row r="59" spans="1:2" x14ac:dyDescent="0.25">
      <c r="A59" s="129" t="s">
        <v>122</v>
      </c>
      <c r="B59" s="130">
        <v>134.19999999999999</v>
      </c>
    </row>
    <row r="60" spans="1:2" x14ac:dyDescent="0.25">
      <c r="A60" s="129" t="s">
        <v>123</v>
      </c>
      <c r="B60" s="130">
        <v>135.5</v>
      </c>
    </row>
    <row r="61" spans="1:2" x14ac:dyDescent="0.25">
      <c r="A61" s="129" t="s">
        <v>124</v>
      </c>
      <c r="B61" s="130">
        <v>136.19999999999999</v>
      </c>
    </row>
    <row r="62" spans="1:2" x14ac:dyDescent="0.25">
      <c r="A62" s="129" t="s">
        <v>125</v>
      </c>
      <c r="B62" s="130">
        <v>139.1</v>
      </c>
    </row>
    <row r="63" spans="1:2" x14ac:dyDescent="0.25">
      <c r="A63" s="129" t="s">
        <v>126</v>
      </c>
      <c r="B63" s="130">
        <v>139</v>
      </c>
    </row>
    <row r="64" spans="1:2" x14ac:dyDescent="0.25">
      <c r="A64" s="129" t="s">
        <v>127</v>
      </c>
      <c r="B64" s="130">
        <v>139.6</v>
      </c>
    </row>
    <row r="65" spans="1:2" x14ac:dyDescent="0.25">
      <c r="A65" s="129" t="s">
        <v>128</v>
      </c>
      <c r="B65" s="130">
        <v>138.69999999999999</v>
      </c>
    </row>
    <row r="66" spans="1:2" x14ac:dyDescent="0.25">
      <c r="A66" s="129" t="s">
        <v>129</v>
      </c>
      <c r="B66" s="130">
        <v>140.9</v>
      </c>
    </row>
    <row r="67" spans="1:2" x14ac:dyDescent="0.25">
      <c r="A67" s="129" t="s">
        <v>130</v>
      </c>
      <c r="B67" s="130">
        <v>141.30000000000001</v>
      </c>
    </row>
    <row r="68" spans="1:2" x14ac:dyDescent="0.25">
      <c r="A68" s="129" t="s">
        <v>131</v>
      </c>
      <c r="B68" s="130">
        <v>141.80000000000001</v>
      </c>
    </row>
    <row r="69" spans="1:2" x14ac:dyDescent="0.25">
      <c r="A69" s="129" t="s">
        <v>132</v>
      </c>
      <c r="B69" s="130">
        <v>142</v>
      </c>
    </row>
    <row r="70" spans="1:2" x14ac:dyDescent="0.25">
      <c r="A70" s="129" t="s">
        <v>133</v>
      </c>
      <c r="B70" s="130">
        <v>144.5</v>
      </c>
    </row>
    <row r="71" spans="1:2" x14ac:dyDescent="0.25">
      <c r="A71" s="129" t="s">
        <v>134</v>
      </c>
      <c r="B71" s="130">
        <v>144.6</v>
      </c>
    </row>
    <row r="72" spans="1:2" x14ac:dyDescent="0.25">
      <c r="A72" s="129" t="s">
        <v>135</v>
      </c>
      <c r="B72" s="130">
        <v>145.5</v>
      </c>
    </row>
    <row r="73" spans="1:2" x14ac:dyDescent="0.25">
      <c r="A73" s="129" t="s">
        <v>136</v>
      </c>
      <c r="B73" s="130">
        <v>146.80000000000001</v>
      </c>
    </row>
    <row r="74" spans="1:2" x14ac:dyDescent="0.25">
      <c r="A74" s="129" t="s">
        <v>137</v>
      </c>
      <c r="B74" s="130">
        <v>149.5</v>
      </c>
    </row>
    <row r="75" spans="1:2" x14ac:dyDescent="0.25">
      <c r="A75" s="129" t="s">
        <v>138</v>
      </c>
      <c r="B75" s="130">
        <v>149.9</v>
      </c>
    </row>
    <row r="76" spans="1:2" x14ac:dyDescent="0.25">
      <c r="A76" s="129" t="s">
        <v>139</v>
      </c>
      <c r="B76" s="130">
        <v>150.1</v>
      </c>
    </row>
    <row r="77" spans="1:2" x14ac:dyDescent="0.25">
      <c r="A77" s="129" t="s">
        <v>140</v>
      </c>
      <c r="B77" s="130">
        <v>150.9</v>
      </c>
    </row>
    <row r="78" spans="1:2" x14ac:dyDescent="0.25">
      <c r="A78" s="129" t="s">
        <v>141</v>
      </c>
      <c r="B78" s="130">
        <v>152.80000000000001</v>
      </c>
    </row>
    <row r="79" spans="1:2" x14ac:dyDescent="0.25">
      <c r="A79" s="129" t="s">
        <v>142</v>
      </c>
      <c r="B79" s="130">
        <v>153.1</v>
      </c>
    </row>
    <row r="80" spans="1:2" x14ac:dyDescent="0.25">
      <c r="A80" s="129" t="s">
        <v>143</v>
      </c>
      <c r="B80" s="130">
        <v>154</v>
      </c>
    </row>
    <row r="81" spans="1:2" x14ac:dyDescent="0.25">
      <c r="A81" s="129" t="s">
        <v>144</v>
      </c>
      <c r="B81" s="130">
        <v>154.9</v>
      </c>
    </row>
    <row r="82" spans="1:2" x14ac:dyDescent="0.25">
      <c r="A82" s="129" t="s">
        <v>145</v>
      </c>
      <c r="B82" s="130">
        <v>156.9</v>
      </c>
    </row>
    <row r="83" spans="1:2" x14ac:dyDescent="0.25">
      <c r="A83" s="129" t="s">
        <v>146</v>
      </c>
      <c r="B83" s="130">
        <v>158.4</v>
      </c>
    </row>
    <row r="84" spans="1:2" x14ac:dyDescent="0.25">
      <c r="A84" s="129" t="s">
        <v>147</v>
      </c>
      <c r="B84" s="130">
        <v>159.69999999999999</v>
      </c>
    </row>
    <row r="85" spans="1:2" x14ac:dyDescent="0.25">
      <c r="A85" s="129" t="s">
        <v>148</v>
      </c>
      <c r="B85" s="130">
        <v>160.19999999999999</v>
      </c>
    </row>
    <row r="86" spans="1:2" x14ac:dyDescent="0.25">
      <c r="A86" s="129" t="s">
        <v>149</v>
      </c>
      <c r="B86" s="130">
        <v>163.19999999999999</v>
      </c>
    </row>
    <row r="87" spans="1:2" x14ac:dyDescent="0.25">
      <c r="A87" s="129" t="s">
        <v>150</v>
      </c>
      <c r="B87" s="130">
        <v>163.69999999999999</v>
      </c>
    </row>
    <row r="88" spans="1:2" x14ac:dyDescent="0.25">
      <c r="A88" s="129" t="s">
        <v>151</v>
      </c>
      <c r="B88" s="130">
        <v>164.4</v>
      </c>
    </row>
    <row r="89" spans="1:2" x14ac:dyDescent="0.25">
      <c r="A89" s="129" t="s">
        <v>152</v>
      </c>
      <c r="B89" s="130">
        <v>163.69999999999999</v>
      </c>
    </row>
    <row r="90" spans="1:2" x14ac:dyDescent="0.25">
      <c r="A90" s="129" t="s">
        <v>153</v>
      </c>
      <c r="B90" s="130">
        <v>165.5</v>
      </c>
    </row>
    <row r="91" spans="1:2" x14ac:dyDescent="0.25">
      <c r="A91" s="129" t="s">
        <v>154</v>
      </c>
      <c r="B91" s="130">
        <v>165.6</v>
      </c>
    </row>
    <row r="92" spans="1:2" x14ac:dyDescent="0.25">
      <c r="A92" s="129" t="s">
        <v>155</v>
      </c>
      <c r="B92" s="130">
        <v>166.8</v>
      </c>
    </row>
    <row r="93" spans="1:2" x14ac:dyDescent="0.25">
      <c r="A93" s="129" t="s">
        <v>156</v>
      </c>
      <c r="B93" s="130">
        <v>167.5</v>
      </c>
    </row>
    <row r="94" spans="1:2" x14ac:dyDescent="0.25">
      <c r="A94" s="129" t="s">
        <v>157</v>
      </c>
      <c r="B94" s="130">
        <v>170.6</v>
      </c>
    </row>
    <row r="95" spans="1:2" x14ac:dyDescent="0.25">
      <c r="A95" s="129" t="s">
        <v>158</v>
      </c>
      <c r="B95" s="130">
        <v>170.9</v>
      </c>
    </row>
    <row r="96" spans="1:2" x14ac:dyDescent="0.25">
      <c r="A96" s="129" t="s">
        <v>159</v>
      </c>
      <c r="B96" s="130">
        <v>172</v>
      </c>
    </row>
    <row r="97" spans="1:2" x14ac:dyDescent="0.25">
      <c r="A97" s="129" t="s">
        <v>160</v>
      </c>
      <c r="B97" s="130">
        <v>171.8</v>
      </c>
    </row>
    <row r="98" spans="1:2" x14ac:dyDescent="0.25">
      <c r="A98" s="129" t="s">
        <v>161</v>
      </c>
      <c r="B98" s="130">
        <v>173.9</v>
      </c>
    </row>
    <row r="99" spans="1:2" x14ac:dyDescent="0.25">
      <c r="A99" s="129" t="s">
        <v>162</v>
      </c>
      <c r="B99" s="130">
        <v>174</v>
      </c>
    </row>
    <row r="100" spans="1:2" x14ac:dyDescent="0.25">
      <c r="A100" s="129" t="s">
        <v>163</v>
      </c>
      <c r="B100" s="130">
        <v>173.8</v>
      </c>
    </row>
    <row r="101" spans="1:2" x14ac:dyDescent="0.25">
      <c r="A101" s="129" t="s">
        <v>164</v>
      </c>
      <c r="B101" s="130">
        <v>173.9</v>
      </c>
    </row>
    <row r="102" spans="1:2" x14ac:dyDescent="0.25">
      <c r="A102" s="129" t="s">
        <v>165</v>
      </c>
      <c r="B102" s="130">
        <v>176</v>
      </c>
    </row>
    <row r="103" spans="1:2" x14ac:dyDescent="0.25">
      <c r="A103" s="129" t="s">
        <v>166</v>
      </c>
      <c r="B103" s="130">
        <v>176.6</v>
      </c>
    </row>
    <row r="104" spans="1:2" x14ac:dyDescent="0.25">
      <c r="A104" s="129" t="s">
        <v>167</v>
      </c>
      <c r="B104" s="130">
        <v>178.2</v>
      </c>
    </row>
    <row r="105" spans="1:2" x14ac:dyDescent="0.25">
      <c r="A105" s="129" t="s">
        <v>168</v>
      </c>
      <c r="B105" s="130">
        <v>179.2</v>
      </c>
    </row>
    <row r="106" spans="1:2" x14ac:dyDescent="0.25">
      <c r="A106" s="129" t="s">
        <v>169</v>
      </c>
      <c r="B106" s="130">
        <v>181.3</v>
      </c>
    </row>
    <row r="107" spans="1:2" x14ac:dyDescent="0.25">
      <c r="A107" s="129" t="s">
        <v>170</v>
      </c>
      <c r="B107" s="130">
        <v>181.8</v>
      </c>
    </row>
    <row r="108" spans="1:2" x14ac:dyDescent="0.25">
      <c r="A108" s="129" t="s">
        <v>171</v>
      </c>
      <c r="B108" s="130">
        <v>182.9</v>
      </c>
    </row>
    <row r="109" spans="1:2" x14ac:dyDescent="0.25">
      <c r="A109" s="129" t="s">
        <v>172</v>
      </c>
      <c r="B109" s="130">
        <v>183.8</v>
      </c>
    </row>
    <row r="110" spans="1:2" x14ac:dyDescent="0.25">
      <c r="A110" s="129" t="s">
        <v>173</v>
      </c>
      <c r="B110" s="130">
        <v>186.3</v>
      </c>
    </row>
    <row r="111" spans="1:2" x14ac:dyDescent="0.25">
      <c r="A111" s="129" t="s">
        <v>174</v>
      </c>
      <c r="B111" s="130">
        <v>187.4</v>
      </c>
    </row>
    <row r="112" spans="1:2" x14ac:dyDescent="0.25">
      <c r="A112" s="129" t="s">
        <v>175</v>
      </c>
      <c r="B112" s="130">
        <v>189.2</v>
      </c>
    </row>
    <row r="113" spans="1:2" x14ac:dyDescent="0.25">
      <c r="A113" s="129" t="s">
        <v>176</v>
      </c>
      <c r="B113" s="130">
        <v>189.7</v>
      </c>
    </row>
    <row r="114" spans="1:2" x14ac:dyDescent="0.25">
      <c r="A114" s="129" t="s">
        <v>177</v>
      </c>
      <c r="B114" s="130">
        <v>191.9</v>
      </c>
    </row>
    <row r="115" spans="1:2" x14ac:dyDescent="0.25">
      <c r="A115" s="129" t="s">
        <v>178</v>
      </c>
      <c r="B115" s="130">
        <v>192.6</v>
      </c>
    </row>
    <row r="116" spans="1:2" x14ac:dyDescent="0.25">
      <c r="A116" s="129" t="s">
        <v>179</v>
      </c>
      <c r="B116" s="130">
        <v>193.7</v>
      </c>
    </row>
    <row r="117" spans="1:2" x14ac:dyDescent="0.25">
      <c r="A117" s="129" t="s">
        <v>180</v>
      </c>
      <c r="B117" s="130">
        <v>194.2</v>
      </c>
    </row>
    <row r="118" spans="1:2" x14ac:dyDescent="0.25">
      <c r="A118" s="129" t="s">
        <v>181</v>
      </c>
      <c r="B118" s="130">
        <v>197.6</v>
      </c>
    </row>
    <row r="119" spans="1:2" x14ac:dyDescent="0.25">
      <c r="A119" s="129" t="s">
        <v>182</v>
      </c>
      <c r="B119" s="130">
        <v>199.3</v>
      </c>
    </row>
    <row r="120" spans="1:2" x14ac:dyDescent="0.25">
      <c r="A120" s="129" t="s">
        <v>183</v>
      </c>
      <c r="B120" s="130">
        <v>201.4</v>
      </c>
    </row>
    <row r="121" spans="1:2" x14ac:dyDescent="0.25">
      <c r="A121" s="129" t="s">
        <v>184</v>
      </c>
      <c r="B121" s="130">
        <v>203</v>
      </c>
    </row>
    <row r="122" spans="1:2" x14ac:dyDescent="0.25">
      <c r="A122" s="129" t="s">
        <v>185</v>
      </c>
      <c r="B122" s="130">
        <v>206.3</v>
      </c>
    </row>
    <row r="123" spans="1:2" x14ac:dyDescent="0.25">
      <c r="A123" s="129" t="s">
        <v>186</v>
      </c>
      <c r="B123" s="130">
        <v>207.1</v>
      </c>
    </row>
    <row r="124" spans="1:2" x14ac:dyDescent="0.25">
      <c r="A124" s="129" t="s">
        <v>187</v>
      </c>
      <c r="B124" s="130">
        <v>209.8</v>
      </c>
    </row>
    <row r="125" spans="1:2" x14ac:dyDescent="0.25">
      <c r="A125" s="129" t="s">
        <v>188</v>
      </c>
      <c r="B125" s="130">
        <v>211.1</v>
      </c>
    </row>
    <row r="126" spans="1:2" x14ac:dyDescent="0.25">
      <c r="A126" s="129" t="s">
        <v>189</v>
      </c>
      <c r="B126" s="130">
        <v>215.3</v>
      </c>
    </row>
    <row r="127" spans="1:2" x14ac:dyDescent="0.25">
      <c r="A127" s="129" t="s">
        <v>190</v>
      </c>
      <c r="B127" s="130">
        <v>217.4</v>
      </c>
    </row>
    <row r="128" spans="1:2" x14ac:dyDescent="0.25">
      <c r="A128" s="129" t="s">
        <v>191</v>
      </c>
      <c r="B128" s="130">
        <v>215.5</v>
      </c>
    </row>
    <row r="129" spans="1:2" x14ac:dyDescent="0.25">
      <c r="A129" s="129" t="s">
        <v>192</v>
      </c>
      <c r="B129" s="130">
        <v>210.9</v>
      </c>
    </row>
    <row r="130" spans="1:2" x14ac:dyDescent="0.25">
      <c r="A130" s="129" t="s">
        <v>193</v>
      </c>
      <c r="B130" s="130">
        <v>212.6</v>
      </c>
    </row>
    <row r="131" spans="1:2" x14ac:dyDescent="0.25">
      <c r="A131" s="129" t="s">
        <v>194</v>
      </c>
      <c r="B131" s="130">
        <v>214.4</v>
      </c>
    </row>
    <row r="132" spans="1:2" x14ac:dyDescent="0.25">
      <c r="A132" s="129" t="s">
        <v>195</v>
      </c>
      <c r="B132" s="130">
        <v>216.9</v>
      </c>
    </row>
    <row r="133" spans="1:2" x14ac:dyDescent="0.25">
      <c r="A133" s="129" t="s">
        <v>196</v>
      </c>
      <c r="B133" s="130">
        <v>219.3</v>
      </c>
    </row>
    <row r="134" spans="1:2" x14ac:dyDescent="0.25">
      <c r="A134" s="129" t="s">
        <v>197</v>
      </c>
      <c r="B134" s="130">
        <v>223.5</v>
      </c>
    </row>
    <row r="135" spans="1:2" x14ac:dyDescent="0.25">
      <c r="A135" s="129" t="s">
        <v>198</v>
      </c>
      <c r="B135" s="130">
        <v>224.5</v>
      </c>
    </row>
    <row r="136" spans="1:2" x14ac:dyDescent="0.25">
      <c r="A136" s="129" t="s">
        <v>199</v>
      </c>
      <c r="B136" s="130">
        <v>227</v>
      </c>
    </row>
    <row r="137" spans="1:2" x14ac:dyDescent="0.25">
      <c r="A137" s="129" t="s">
        <v>200</v>
      </c>
      <c r="B137" s="130">
        <v>230.9</v>
      </c>
    </row>
    <row r="138" spans="1:2" x14ac:dyDescent="0.25">
      <c r="A138" s="129" t="s">
        <v>201</v>
      </c>
      <c r="B138" s="130">
        <v>234.9</v>
      </c>
    </row>
    <row r="139" spans="1:2" x14ac:dyDescent="0.25">
      <c r="A139" s="129" t="s">
        <v>202</v>
      </c>
      <c r="B139" s="130">
        <v>236.2</v>
      </c>
    </row>
    <row r="140" spans="1:2" x14ac:dyDescent="0.25">
      <c r="A140" s="129" t="s">
        <v>203</v>
      </c>
      <c r="B140" s="130">
        <v>238.6</v>
      </c>
    </row>
    <row r="141" spans="1:2" x14ac:dyDescent="0.25">
      <c r="A141" s="129" t="s">
        <v>204</v>
      </c>
      <c r="B141" s="130">
        <v>239.6</v>
      </c>
    </row>
    <row r="142" spans="1:2" x14ac:dyDescent="0.25">
      <c r="A142" s="129" t="s">
        <v>205</v>
      </c>
      <c r="B142" s="130">
        <v>242.2</v>
      </c>
    </row>
    <row r="143" spans="1:2" x14ac:dyDescent="0.25">
      <c r="A143" s="129" t="s">
        <v>206</v>
      </c>
      <c r="B143" s="130">
        <v>243.1</v>
      </c>
    </row>
    <row r="144" spans="1:2" x14ac:dyDescent="0.25">
      <c r="A144" s="129" t="s">
        <v>207</v>
      </c>
      <c r="B144" s="130">
        <v>246</v>
      </c>
    </row>
    <row r="145" spans="1:2" x14ac:dyDescent="0.25">
      <c r="A145" s="129" t="s">
        <v>208</v>
      </c>
      <c r="B145" s="130">
        <v>247.4</v>
      </c>
    </row>
    <row r="146" spans="1:2" x14ac:dyDescent="0.25">
      <c r="A146" s="129" t="s">
        <v>209</v>
      </c>
      <c r="B146" s="130">
        <v>249.7</v>
      </c>
    </row>
    <row r="147" spans="1:2" x14ac:dyDescent="0.25">
      <c r="A147" s="129" t="s">
        <v>210</v>
      </c>
      <c r="B147" s="130">
        <v>250.9</v>
      </c>
    </row>
    <row r="148" spans="1:2" x14ac:dyDescent="0.25">
      <c r="A148" s="129" t="s">
        <v>211</v>
      </c>
      <c r="B148" s="130">
        <v>252.5</v>
      </c>
    </row>
    <row r="149" spans="1:2" x14ac:dyDescent="0.25">
      <c r="A149" s="129" t="s">
        <v>212</v>
      </c>
      <c r="B149" s="130">
        <v>253.9</v>
      </c>
    </row>
    <row r="150" spans="1:2" x14ac:dyDescent="0.25">
      <c r="A150" s="129" t="s">
        <v>213</v>
      </c>
      <c r="B150" s="130">
        <v>256</v>
      </c>
    </row>
    <row r="151" spans="1:2" x14ac:dyDescent="0.25">
      <c r="A151" s="129" t="s">
        <v>214</v>
      </c>
      <c r="B151" s="130">
        <v>256.89999999999998</v>
      </c>
    </row>
    <row r="152" spans="1:2" x14ac:dyDescent="0.25">
      <c r="A152" s="129" t="s">
        <v>215</v>
      </c>
      <c r="B152" s="130">
        <v>257.39999999999998</v>
      </c>
    </row>
    <row r="153" spans="1:2" x14ac:dyDescent="0.25">
      <c r="A153" s="129" t="s">
        <v>216</v>
      </c>
      <c r="B153" s="130">
        <v>256.39999999999998</v>
      </c>
    </row>
    <row r="154" spans="1:2" x14ac:dyDescent="0.25">
      <c r="A154" s="129" t="s">
        <v>217</v>
      </c>
      <c r="B154" s="130">
        <v>258.5</v>
      </c>
    </row>
    <row r="155" spans="1:2" x14ac:dyDescent="0.25">
      <c r="A155" s="129" t="s">
        <v>218</v>
      </c>
      <c r="B155" s="130">
        <v>259.3</v>
      </c>
    </row>
    <row r="156" spans="1:2" x14ac:dyDescent="0.25">
      <c r="A156" s="129" t="s">
        <v>219</v>
      </c>
      <c r="B156" s="130">
        <v>260</v>
      </c>
    </row>
    <row r="157" spans="1:2" x14ac:dyDescent="0.25">
      <c r="A157" s="129" t="s">
        <v>220</v>
      </c>
      <c r="B157" s="130">
        <v>260</v>
      </c>
    </row>
    <row r="158" spans="1:2" x14ac:dyDescent="0.25">
      <c r="A158" s="129" t="s">
        <v>221</v>
      </c>
      <c r="B158" s="130">
        <v>262.2</v>
      </c>
    </row>
    <row r="159" spans="1:2" x14ac:dyDescent="0.25">
      <c r="A159" s="129" t="s">
        <v>222</v>
      </c>
      <c r="B159" s="130">
        <v>264.2</v>
      </c>
    </row>
    <row r="160" spans="1:2" x14ac:dyDescent="0.25">
      <c r="A160" s="129" t="s">
        <v>223</v>
      </c>
      <c r="B160" s="130">
        <v>265.8</v>
      </c>
    </row>
    <row r="161" spans="1:2" x14ac:dyDescent="0.25">
      <c r="A161" s="129" t="s">
        <v>224</v>
      </c>
      <c r="B161" s="130">
        <v>267.7</v>
      </c>
    </row>
    <row r="162" spans="1:2" x14ac:dyDescent="0.25">
      <c r="A162" s="129" t="s">
        <v>225</v>
      </c>
      <c r="B162" s="130">
        <v>271.5</v>
      </c>
    </row>
    <row r="163" spans="1:2" x14ac:dyDescent="0.25">
      <c r="A163" s="129" t="s">
        <v>226</v>
      </c>
      <c r="B163" s="130">
        <v>274.2</v>
      </c>
    </row>
    <row r="164" spans="1:2" x14ac:dyDescent="0.25">
      <c r="A164" s="129" t="s">
        <v>227</v>
      </c>
      <c r="B164" s="130">
        <v>276.39999999999998</v>
      </c>
    </row>
    <row r="165" spans="1:2" x14ac:dyDescent="0.25">
      <c r="A165" s="129" t="s">
        <v>228</v>
      </c>
      <c r="B165" s="130">
        <v>277.5</v>
      </c>
    </row>
    <row r="166" spans="1:2" x14ac:dyDescent="0.25">
      <c r="A166" s="129" t="s">
        <v>229</v>
      </c>
      <c r="B166" s="130">
        <v>280.60000000000002</v>
      </c>
    </row>
    <row r="167" spans="1:2" x14ac:dyDescent="0.25">
      <c r="A167" s="129" t="s">
        <v>230</v>
      </c>
      <c r="B167" s="130">
        <v>283.3</v>
      </c>
    </row>
    <row r="168" spans="1:2" x14ac:dyDescent="0.25">
      <c r="A168" s="129" t="s">
        <v>231</v>
      </c>
      <c r="B168" s="130">
        <v>284.89999999999998</v>
      </c>
    </row>
    <row r="169" spans="1:2" x14ac:dyDescent="0.25">
      <c r="A169" s="129" t="s">
        <v>232</v>
      </c>
      <c r="B169" s="130">
        <v>100</v>
      </c>
    </row>
    <row r="170" spans="1:2" x14ac:dyDescent="0.25">
      <c r="A170" s="129" t="s">
        <v>233</v>
      </c>
      <c r="B170" s="130">
        <v>100.4</v>
      </c>
    </row>
    <row r="171" spans="1:2" x14ac:dyDescent="0.25">
      <c r="A171" s="129" t="s">
        <v>234</v>
      </c>
      <c r="B171" s="130">
        <v>100.6</v>
      </c>
    </row>
    <row r="172" spans="1:2" x14ac:dyDescent="0.25">
      <c r="A172" s="129" t="s">
        <v>235</v>
      </c>
      <c r="B172" s="130">
        <v>101.8</v>
      </c>
    </row>
    <row r="173" spans="1:2" x14ac:dyDescent="0.25">
      <c r="A173" s="129" t="s">
        <v>236</v>
      </c>
      <c r="B173" s="130">
        <v>101.9</v>
      </c>
    </row>
    <row r="174" spans="1:2" x14ac:dyDescent="0.25">
      <c r="A174" s="129" t="s">
        <v>237</v>
      </c>
      <c r="B174" s="130">
        <v>101.9</v>
      </c>
    </row>
    <row r="175" spans="1:2" x14ac:dyDescent="0.25">
      <c r="A175" s="129" t="s">
        <v>238</v>
      </c>
      <c r="B175" s="130">
        <v>101.8</v>
      </c>
    </row>
    <row r="176" spans="1:2" x14ac:dyDescent="0.25">
      <c r="A176" s="129" t="s">
        <v>239</v>
      </c>
      <c r="B176" s="130">
        <v>102.1</v>
      </c>
    </row>
    <row r="177" spans="1:2" x14ac:dyDescent="0.25">
      <c r="A177" s="129" t="s">
        <v>240</v>
      </c>
      <c r="B177" s="130">
        <v>102.4</v>
      </c>
    </row>
    <row r="178" spans="1:2" x14ac:dyDescent="0.25">
      <c r="A178" s="129" t="s">
        <v>241</v>
      </c>
      <c r="B178" s="130">
        <v>102.9</v>
      </c>
    </row>
    <row r="179" spans="1:2" x14ac:dyDescent="0.25">
      <c r="A179" s="129" t="s">
        <v>242</v>
      </c>
      <c r="B179" s="130">
        <v>103.4</v>
      </c>
    </row>
    <row r="180" spans="1:2" x14ac:dyDescent="0.25">
      <c r="A180" s="129" t="s">
        <v>243</v>
      </c>
      <c r="B180" s="130">
        <v>103.3</v>
      </c>
    </row>
    <row r="181" spans="1:2" x14ac:dyDescent="0.25">
      <c r="A181" s="129" t="s">
        <v>244</v>
      </c>
      <c r="B181" s="130">
        <v>103.3</v>
      </c>
    </row>
    <row r="182" spans="1:2" x14ac:dyDescent="0.25">
      <c r="A182" s="129" t="s">
        <v>245</v>
      </c>
      <c r="B182" s="130">
        <v>103.7</v>
      </c>
    </row>
    <row r="183" spans="1:2" x14ac:dyDescent="0.25">
      <c r="A183" s="129" t="s">
        <v>246</v>
      </c>
      <c r="B183" s="130">
        <v>104.1</v>
      </c>
    </row>
    <row r="184" spans="1:2" x14ac:dyDescent="0.25">
      <c r="A184" s="129" t="s">
        <v>247</v>
      </c>
      <c r="B184" s="130">
        <v>105.8</v>
      </c>
    </row>
    <row r="185" spans="1:2" x14ac:dyDescent="0.25">
      <c r="A185" s="129" t="s">
        <v>248</v>
      </c>
      <c r="B185" s="130">
        <v>106.2</v>
      </c>
    </row>
    <row r="186" spans="1:2" x14ac:dyDescent="0.25">
      <c r="A186" s="129" t="s">
        <v>249</v>
      </c>
      <c r="B186" s="130">
        <v>106.6</v>
      </c>
    </row>
    <row r="187" spans="1:2" x14ac:dyDescent="0.25">
      <c r="A187" s="129" t="s">
        <v>250</v>
      </c>
      <c r="B187" s="130">
        <v>106.7</v>
      </c>
    </row>
    <row r="188" spans="1:2" x14ac:dyDescent="0.25">
      <c r="A188" s="129" t="s">
        <v>251</v>
      </c>
      <c r="B188" s="130">
        <v>107.9</v>
      </c>
    </row>
    <row r="189" spans="1:2" x14ac:dyDescent="0.25">
      <c r="A189" s="129" t="s">
        <v>252</v>
      </c>
      <c r="B189" s="130">
        <v>108.4</v>
      </c>
    </row>
    <row r="190" spans="1:2" x14ac:dyDescent="0.25">
      <c r="A190" s="129" t="s">
        <v>253</v>
      </c>
      <c r="B190" s="130">
        <v>109.5</v>
      </c>
    </row>
    <row r="191" spans="1:2" x14ac:dyDescent="0.25">
      <c r="A191" s="129" t="s">
        <v>254</v>
      </c>
      <c r="B191" s="130">
        <v>110</v>
      </c>
    </row>
    <row r="192" spans="1:2" x14ac:dyDescent="0.25">
      <c r="A192" s="129" t="s">
        <v>255</v>
      </c>
      <c r="B192" s="130">
        <v>110.3</v>
      </c>
    </row>
    <row r="193" spans="1:2" x14ac:dyDescent="0.25">
      <c r="A193" s="129" t="s">
        <v>256</v>
      </c>
      <c r="B193" s="130">
        <v>111</v>
      </c>
    </row>
    <row r="194" spans="1:2" x14ac:dyDescent="0.25">
      <c r="A194" s="129" t="s">
        <v>257</v>
      </c>
      <c r="B194" s="130">
        <v>111.8</v>
      </c>
    </row>
    <row r="195" spans="1:2" x14ac:dyDescent="0.25">
      <c r="A195" s="129" t="s">
        <v>258</v>
      </c>
      <c r="B195" s="130">
        <v>112.3</v>
      </c>
    </row>
    <row r="196" spans="1:2" x14ac:dyDescent="0.25">
      <c r="A196" s="129" t="s">
        <v>259</v>
      </c>
      <c r="B196" s="130">
        <v>114.3</v>
      </c>
    </row>
    <row r="197" spans="1:2" x14ac:dyDescent="0.25">
      <c r="A197" s="129" t="s">
        <v>260</v>
      </c>
      <c r="B197" s="130">
        <v>115</v>
      </c>
    </row>
    <row r="198" spans="1:2" x14ac:dyDescent="0.25">
      <c r="A198" s="129" t="s">
        <v>261</v>
      </c>
      <c r="B198" s="130">
        <v>115.4</v>
      </c>
    </row>
    <row r="199" spans="1:2" x14ac:dyDescent="0.25">
      <c r="A199" s="129" t="s">
        <v>262</v>
      </c>
      <c r="B199" s="130">
        <v>115.5</v>
      </c>
    </row>
    <row r="200" spans="1:2" x14ac:dyDescent="0.25">
      <c r="A200" s="129" t="s">
        <v>263</v>
      </c>
      <c r="B200" s="130">
        <v>115.8</v>
      </c>
    </row>
    <row r="201" spans="1:2" x14ac:dyDescent="0.25">
      <c r="A201" s="129" t="s">
        <v>264</v>
      </c>
      <c r="B201" s="130">
        <v>116.6</v>
      </c>
    </row>
    <row r="202" spans="1:2" x14ac:dyDescent="0.25">
      <c r="A202" s="129" t="s">
        <v>265</v>
      </c>
      <c r="B202" s="130">
        <v>117.5</v>
      </c>
    </row>
    <row r="203" spans="1:2" x14ac:dyDescent="0.25">
      <c r="A203" s="129" t="s">
        <v>266</v>
      </c>
      <c r="B203" s="130">
        <v>118.5</v>
      </c>
    </row>
    <row r="204" spans="1:2" x14ac:dyDescent="0.25">
      <c r="A204" s="129" t="s">
        <v>267</v>
      </c>
      <c r="B204" s="130">
        <v>118.8</v>
      </c>
    </row>
    <row r="205" spans="1:2" x14ac:dyDescent="0.25">
      <c r="A205" s="129" t="s">
        <v>268</v>
      </c>
      <c r="B205" s="130">
        <v>119.5</v>
      </c>
    </row>
    <row r="206" spans="1:2" x14ac:dyDescent="0.25">
      <c r="A206" s="129" t="s">
        <v>269</v>
      </c>
      <c r="B206" s="130">
        <v>120.2</v>
      </c>
    </row>
    <row r="207" spans="1:2" x14ac:dyDescent="0.25">
      <c r="A207" s="129" t="s">
        <v>270</v>
      </c>
      <c r="B207" s="130">
        <v>121.4</v>
      </c>
    </row>
    <row r="208" spans="1:2" x14ac:dyDescent="0.25">
      <c r="A208" s="129" t="s">
        <v>271</v>
      </c>
      <c r="B208" s="130">
        <v>125.1</v>
      </c>
    </row>
    <row r="209" spans="1:2" x14ac:dyDescent="0.25">
      <c r="A209" s="129" t="s">
        <v>272</v>
      </c>
      <c r="B209" s="130">
        <v>126.2</v>
      </c>
    </row>
    <row r="210" spans="1:2" x14ac:dyDescent="0.25">
      <c r="A210" s="129" t="s">
        <v>273</v>
      </c>
      <c r="B210" s="130">
        <v>126.7</v>
      </c>
    </row>
    <row r="211" spans="1:2" x14ac:dyDescent="0.25">
      <c r="A211" s="129" t="s">
        <v>274</v>
      </c>
      <c r="B211" s="130">
        <v>126.8</v>
      </c>
    </row>
    <row r="212" spans="1:2" x14ac:dyDescent="0.25">
      <c r="A212" s="129" t="s">
        <v>275</v>
      </c>
      <c r="B212" s="130">
        <v>128.1</v>
      </c>
    </row>
    <row r="213" spans="1:2" x14ac:dyDescent="0.25">
      <c r="A213" s="129" t="s">
        <v>276</v>
      </c>
      <c r="B213" s="130">
        <v>129.30000000000001</v>
      </c>
    </row>
    <row r="214" spans="1:2" x14ac:dyDescent="0.25">
      <c r="A214" s="129" t="s">
        <v>277</v>
      </c>
      <c r="B214" s="130">
        <v>130.30000000000001</v>
      </c>
    </row>
    <row r="215" spans="1:2" x14ac:dyDescent="0.25">
      <c r="A215" s="129" t="s">
        <v>278</v>
      </c>
      <c r="B215" s="130">
        <v>130</v>
      </c>
    </row>
    <row r="216" spans="1:2" x14ac:dyDescent="0.25">
      <c r="A216" s="129" t="s">
        <v>279</v>
      </c>
      <c r="B216" s="130">
        <v>129.9</v>
      </c>
    </row>
    <row r="217" spans="1:2" x14ac:dyDescent="0.25">
      <c r="A217" s="129" t="s">
        <v>280</v>
      </c>
      <c r="B217" s="130">
        <v>130.19999999999999</v>
      </c>
    </row>
    <row r="218" spans="1:2" x14ac:dyDescent="0.25">
      <c r="A218" s="129" t="s">
        <v>281</v>
      </c>
      <c r="B218" s="130">
        <v>130.9</v>
      </c>
    </row>
    <row r="219" spans="1:2" x14ac:dyDescent="0.25">
      <c r="A219" s="129" t="s">
        <v>282</v>
      </c>
      <c r="B219" s="130">
        <v>131.4</v>
      </c>
    </row>
    <row r="220" spans="1:2" x14ac:dyDescent="0.25">
      <c r="A220" s="129" t="s">
        <v>283</v>
      </c>
      <c r="B220" s="130">
        <v>133.1</v>
      </c>
    </row>
    <row r="221" spans="1:2" x14ac:dyDescent="0.25">
      <c r="A221" s="129" t="s">
        <v>284</v>
      </c>
      <c r="B221" s="130">
        <v>133.5</v>
      </c>
    </row>
    <row r="222" spans="1:2" x14ac:dyDescent="0.25">
      <c r="A222" s="129" t="s">
        <v>285</v>
      </c>
      <c r="B222" s="130">
        <v>134.1</v>
      </c>
    </row>
    <row r="223" spans="1:2" x14ac:dyDescent="0.25">
      <c r="A223" s="129" t="s">
        <v>286</v>
      </c>
      <c r="B223" s="130">
        <v>133.80000000000001</v>
      </c>
    </row>
    <row r="224" spans="1:2" x14ac:dyDescent="0.25">
      <c r="A224" s="129" t="s">
        <v>287</v>
      </c>
      <c r="B224" s="130">
        <v>134.1</v>
      </c>
    </row>
    <row r="225" spans="1:2" x14ac:dyDescent="0.25">
      <c r="A225" s="129" t="s">
        <v>288</v>
      </c>
      <c r="B225" s="130">
        <v>134.6</v>
      </c>
    </row>
    <row r="226" spans="1:2" x14ac:dyDescent="0.25">
      <c r="A226" s="129" t="s">
        <v>289</v>
      </c>
      <c r="B226" s="130">
        <v>135.1</v>
      </c>
    </row>
    <row r="227" spans="1:2" x14ac:dyDescent="0.25">
      <c r="A227" s="129" t="s">
        <v>290</v>
      </c>
      <c r="B227" s="130">
        <v>135.6</v>
      </c>
    </row>
    <row r="228" spans="1:2" x14ac:dyDescent="0.25">
      <c r="A228" s="129" t="s">
        <v>291</v>
      </c>
      <c r="B228" s="130">
        <v>135.69999999999999</v>
      </c>
    </row>
    <row r="229" spans="1:2" x14ac:dyDescent="0.25">
      <c r="A229" s="129" t="s">
        <v>292</v>
      </c>
      <c r="B229" s="130">
        <v>135.6</v>
      </c>
    </row>
    <row r="230" spans="1:2" x14ac:dyDescent="0.25">
      <c r="A230" s="129" t="s">
        <v>293</v>
      </c>
      <c r="B230" s="130">
        <v>136.30000000000001</v>
      </c>
    </row>
    <row r="231" spans="1:2" x14ac:dyDescent="0.25">
      <c r="A231" s="129" t="s">
        <v>294</v>
      </c>
      <c r="B231" s="130">
        <v>136.69999999999999</v>
      </c>
    </row>
    <row r="232" spans="1:2" x14ac:dyDescent="0.25">
      <c r="A232" s="129" t="s">
        <v>295</v>
      </c>
      <c r="B232" s="130">
        <v>138.80000000000001</v>
      </c>
    </row>
    <row r="233" spans="1:2" x14ac:dyDescent="0.25">
      <c r="A233" s="129" t="s">
        <v>296</v>
      </c>
      <c r="B233" s="130">
        <v>139.30000000000001</v>
      </c>
    </row>
    <row r="234" spans="1:2" x14ac:dyDescent="0.25">
      <c r="A234" s="129" t="s">
        <v>297</v>
      </c>
      <c r="B234" s="130">
        <v>139.30000000000001</v>
      </c>
    </row>
    <row r="235" spans="1:2" x14ac:dyDescent="0.25">
      <c r="A235" s="129" t="s">
        <v>298</v>
      </c>
      <c r="B235" s="130">
        <v>138.80000000000001</v>
      </c>
    </row>
    <row r="236" spans="1:2" x14ac:dyDescent="0.25">
      <c r="A236" s="129" t="s">
        <v>299</v>
      </c>
      <c r="B236" s="130">
        <v>138.9</v>
      </c>
    </row>
    <row r="237" spans="1:2" x14ac:dyDescent="0.25">
      <c r="A237" s="129" t="s">
        <v>300</v>
      </c>
      <c r="B237" s="130">
        <v>139.4</v>
      </c>
    </row>
    <row r="238" spans="1:2" x14ac:dyDescent="0.25">
      <c r="A238" s="129" t="s">
        <v>301</v>
      </c>
      <c r="B238" s="130">
        <v>139.9</v>
      </c>
    </row>
    <row r="239" spans="1:2" x14ac:dyDescent="0.25">
      <c r="A239" s="129" t="s">
        <v>302</v>
      </c>
      <c r="B239" s="130">
        <v>139.69999999999999</v>
      </c>
    </row>
    <row r="240" spans="1:2" x14ac:dyDescent="0.25">
      <c r="A240" s="129" t="s">
        <v>303</v>
      </c>
      <c r="B240" s="130">
        <v>139.19999999999999</v>
      </c>
    </row>
    <row r="241" spans="1:2" x14ac:dyDescent="0.25">
      <c r="A241" s="129" t="s">
        <v>304</v>
      </c>
      <c r="B241" s="130">
        <v>137.9</v>
      </c>
    </row>
    <row r="242" spans="1:2" x14ac:dyDescent="0.25">
      <c r="A242" s="129" t="s">
        <v>305</v>
      </c>
      <c r="B242" s="130">
        <v>138.80000000000001</v>
      </c>
    </row>
    <row r="243" spans="1:2" x14ac:dyDescent="0.25">
      <c r="A243" s="129" t="s">
        <v>306</v>
      </c>
      <c r="B243" s="130">
        <v>139.30000000000001</v>
      </c>
    </row>
    <row r="244" spans="1:2" x14ac:dyDescent="0.25">
      <c r="A244" s="129" t="s">
        <v>307</v>
      </c>
      <c r="B244" s="130">
        <v>140.6</v>
      </c>
    </row>
    <row r="245" spans="1:2" x14ac:dyDescent="0.25">
      <c r="A245" s="129" t="s">
        <v>308</v>
      </c>
      <c r="B245" s="130">
        <v>141.1</v>
      </c>
    </row>
    <row r="246" spans="1:2" x14ac:dyDescent="0.25">
      <c r="A246" s="129" t="s">
        <v>309</v>
      </c>
      <c r="B246" s="130">
        <v>141</v>
      </c>
    </row>
    <row r="247" spans="1:2" x14ac:dyDescent="0.25">
      <c r="A247" s="129" t="s">
        <v>310</v>
      </c>
      <c r="B247" s="130">
        <v>140.69999999999999</v>
      </c>
    </row>
    <row r="248" spans="1:2" x14ac:dyDescent="0.25">
      <c r="A248" s="129" t="s">
        <v>311</v>
      </c>
      <c r="B248" s="130">
        <v>141.30000000000001</v>
      </c>
    </row>
    <row r="249" spans="1:2" x14ac:dyDescent="0.25">
      <c r="A249" s="129" t="s">
        <v>312</v>
      </c>
      <c r="B249" s="130">
        <v>141.9</v>
      </c>
    </row>
    <row r="250" spans="1:2" x14ac:dyDescent="0.25">
      <c r="A250" s="129" t="s">
        <v>313</v>
      </c>
      <c r="B250" s="130">
        <v>141.80000000000001</v>
      </c>
    </row>
    <row r="251" spans="1:2" x14ac:dyDescent="0.25">
      <c r="A251" s="129" t="s">
        <v>314</v>
      </c>
      <c r="B251" s="130">
        <v>141.6</v>
      </c>
    </row>
    <row r="252" spans="1:2" x14ac:dyDescent="0.25">
      <c r="A252" s="129" t="s">
        <v>315</v>
      </c>
      <c r="B252" s="130">
        <v>141.9</v>
      </c>
    </row>
    <row r="253" spans="1:2" x14ac:dyDescent="0.25">
      <c r="A253" s="129" t="s">
        <v>316</v>
      </c>
      <c r="B253" s="130">
        <v>141.30000000000001</v>
      </c>
    </row>
    <row r="254" spans="1:2" x14ac:dyDescent="0.25">
      <c r="A254" s="129" t="s">
        <v>317</v>
      </c>
      <c r="B254" s="130">
        <v>142.1</v>
      </c>
    </row>
    <row r="255" spans="1:2" x14ac:dyDescent="0.25">
      <c r="A255" s="129" t="s">
        <v>318</v>
      </c>
      <c r="B255" s="130">
        <v>142.5</v>
      </c>
    </row>
    <row r="256" spans="1:2" x14ac:dyDescent="0.25">
      <c r="A256" s="129" t="s">
        <v>319</v>
      </c>
      <c r="B256" s="130">
        <v>144.19999999999999</v>
      </c>
    </row>
    <row r="257" spans="1:2" x14ac:dyDescent="0.25">
      <c r="A257" s="129" t="s">
        <v>320</v>
      </c>
      <c r="B257" s="130">
        <v>144.69999999999999</v>
      </c>
    </row>
    <row r="258" spans="1:2" x14ac:dyDescent="0.25">
      <c r="A258" s="129" t="s">
        <v>321</v>
      </c>
      <c r="B258" s="130">
        <v>144.69999999999999</v>
      </c>
    </row>
    <row r="259" spans="1:2" x14ac:dyDescent="0.25">
      <c r="A259" s="129" t="s">
        <v>322</v>
      </c>
      <c r="B259" s="130">
        <v>144</v>
      </c>
    </row>
    <row r="260" spans="1:2" x14ac:dyDescent="0.25">
      <c r="A260" s="129" t="s">
        <v>323</v>
      </c>
      <c r="B260" s="130">
        <v>144.69999999999999</v>
      </c>
    </row>
    <row r="261" spans="1:2" x14ac:dyDescent="0.25">
      <c r="A261" s="129" t="s">
        <v>324</v>
      </c>
      <c r="B261" s="130">
        <v>145</v>
      </c>
    </row>
    <row r="262" spans="1:2" x14ac:dyDescent="0.25">
      <c r="A262" s="129" t="s">
        <v>325</v>
      </c>
      <c r="B262" s="130">
        <v>145.19999999999999</v>
      </c>
    </row>
    <row r="263" spans="1:2" x14ac:dyDescent="0.25">
      <c r="A263" s="129" t="s">
        <v>326</v>
      </c>
      <c r="B263" s="130">
        <v>145.30000000000001</v>
      </c>
    </row>
    <row r="264" spans="1:2" x14ac:dyDescent="0.25">
      <c r="A264" s="129" t="s">
        <v>327</v>
      </c>
      <c r="B264" s="130">
        <v>146</v>
      </c>
    </row>
    <row r="265" spans="1:2" x14ac:dyDescent="0.25">
      <c r="A265" s="129" t="s">
        <v>328</v>
      </c>
      <c r="B265" s="130">
        <v>146</v>
      </c>
    </row>
    <row r="266" spans="1:2" x14ac:dyDescent="0.25">
      <c r="A266" s="129" t="s">
        <v>329</v>
      </c>
      <c r="B266" s="130">
        <v>146.9</v>
      </c>
    </row>
    <row r="267" spans="1:2" x14ac:dyDescent="0.25">
      <c r="A267" s="129" t="s">
        <v>330</v>
      </c>
      <c r="B267" s="130">
        <v>147.5</v>
      </c>
    </row>
    <row r="268" spans="1:2" x14ac:dyDescent="0.25">
      <c r="A268" s="129" t="s">
        <v>331</v>
      </c>
      <c r="B268" s="130">
        <v>149</v>
      </c>
    </row>
    <row r="269" spans="1:2" x14ac:dyDescent="0.25">
      <c r="A269" s="129" t="s">
        <v>332</v>
      </c>
      <c r="B269" s="130">
        <v>149.6</v>
      </c>
    </row>
    <row r="270" spans="1:2" x14ac:dyDescent="0.25">
      <c r="A270" s="129" t="s">
        <v>333</v>
      </c>
      <c r="B270" s="130">
        <v>149.80000000000001</v>
      </c>
    </row>
    <row r="271" spans="1:2" x14ac:dyDescent="0.25">
      <c r="A271" s="129" t="s">
        <v>334</v>
      </c>
      <c r="B271" s="130">
        <v>149.1</v>
      </c>
    </row>
    <row r="272" spans="1:2" x14ac:dyDescent="0.25">
      <c r="A272" s="129" t="s">
        <v>335</v>
      </c>
      <c r="B272" s="130">
        <v>149.9</v>
      </c>
    </row>
    <row r="273" spans="1:2" x14ac:dyDescent="0.25">
      <c r="A273" s="129" t="s">
        <v>336</v>
      </c>
      <c r="B273" s="130">
        <v>150.6</v>
      </c>
    </row>
    <row r="274" spans="1:2" x14ac:dyDescent="0.25">
      <c r="A274" s="129" t="s">
        <v>337</v>
      </c>
      <c r="B274" s="130">
        <v>149.80000000000001</v>
      </c>
    </row>
    <row r="275" spans="1:2" x14ac:dyDescent="0.25">
      <c r="A275" s="129" t="s">
        <v>338</v>
      </c>
      <c r="B275" s="130">
        <v>149.80000000000001</v>
      </c>
    </row>
    <row r="276" spans="1:2" x14ac:dyDescent="0.25">
      <c r="A276" s="129" t="s">
        <v>339</v>
      </c>
      <c r="B276" s="130">
        <v>150.69999999999999</v>
      </c>
    </row>
    <row r="277" spans="1:2" x14ac:dyDescent="0.25">
      <c r="A277" s="129" t="s">
        <v>340</v>
      </c>
      <c r="B277" s="130">
        <v>150.19999999999999</v>
      </c>
    </row>
    <row r="278" spans="1:2" x14ac:dyDescent="0.25">
      <c r="A278" s="129" t="s">
        <v>341</v>
      </c>
      <c r="B278" s="130">
        <v>150.9</v>
      </c>
    </row>
    <row r="279" spans="1:2" x14ac:dyDescent="0.25">
      <c r="A279" s="129" t="s">
        <v>342</v>
      </c>
      <c r="B279" s="130">
        <v>151.5</v>
      </c>
    </row>
    <row r="280" spans="1:2" x14ac:dyDescent="0.25">
      <c r="A280" s="129" t="s">
        <v>343</v>
      </c>
      <c r="B280" s="130">
        <v>152.6</v>
      </c>
    </row>
    <row r="281" spans="1:2" x14ac:dyDescent="0.25">
      <c r="A281" s="129" t="s">
        <v>344</v>
      </c>
      <c r="B281" s="130">
        <v>152.9</v>
      </c>
    </row>
    <row r="282" spans="1:2" x14ac:dyDescent="0.25">
      <c r="A282" s="129" t="s">
        <v>345</v>
      </c>
      <c r="B282" s="130">
        <v>153</v>
      </c>
    </row>
    <row r="283" spans="1:2" x14ac:dyDescent="0.25">
      <c r="A283" s="129" t="s">
        <v>346</v>
      </c>
      <c r="B283" s="130">
        <v>152.4</v>
      </c>
    </row>
    <row r="284" spans="1:2" x14ac:dyDescent="0.25">
      <c r="A284" s="129" t="s">
        <v>347</v>
      </c>
      <c r="B284" s="130">
        <v>153.1</v>
      </c>
    </row>
    <row r="285" spans="1:2" x14ac:dyDescent="0.25">
      <c r="A285" s="129" t="s">
        <v>348</v>
      </c>
      <c r="B285" s="130">
        <v>153.80000000000001</v>
      </c>
    </row>
    <row r="286" spans="1:2" x14ac:dyDescent="0.25">
      <c r="A286" s="129" t="s">
        <v>349</v>
      </c>
      <c r="B286" s="130">
        <v>153.80000000000001</v>
      </c>
    </row>
    <row r="287" spans="1:2" x14ac:dyDescent="0.25">
      <c r="A287" s="129" t="s">
        <v>350</v>
      </c>
      <c r="B287" s="130">
        <v>153.9</v>
      </c>
    </row>
    <row r="288" spans="1:2" x14ac:dyDescent="0.25">
      <c r="A288" s="129" t="s">
        <v>351</v>
      </c>
      <c r="B288" s="130">
        <v>154.4</v>
      </c>
    </row>
    <row r="289" spans="1:4" x14ac:dyDescent="0.25">
      <c r="A289" s="129" t="s">
        <v>352</v>
      </c>
      <c r="B289" s="130">
        <v>154.4</v>
      </c>
    </row>
    <row r="290" spans="1:4" x14ac:dyDescent="0.25">
      <c r="A290" s="129" t="s">
        <v>353</v>
      </c>
      <c r="B290" s="130">
        <v>155</v>
      </c>
    </row>
    <row r="291" spans="1:4" x14ac:dyDescent="0.25">
      <c r="A291" s="129" t="s">
        <v>354</v>
      </c>
      <c r="B291" s="130">
        <v>155.4</v>
      </c>
    </row>
    <row r="292" spans="1:4" x14ac:dyDescent="0.25">
      <c r="A292" s="129" t="s">
        <v>355</v>
      </c>
      <c r="B292" s="130">
        <v>156.30000000000001</v>
      </c>
    </row>
    <row r="293" spans="1:4" x14ac:dyDescent="0.25">
      <c r="A293" s="129" t="s">
        <v>356</v>
      </c>
      <c r="B293" s="130">
        <v>156.9</v>
      </c>
    </row>
    <row r="294" spans="1:4" x14ac:dyDescent="0.25">
      <c r="A294" s="129" t="s">
        <v>357</v>
      </c>
      <c r="B294" s="130">
        <v>157.5</v>
      </c>
    </row>
    <row r="295" spans="1:4" x14ac:dyDescent="0.25">
      <c r="A295" s="129" t="s">
        <v>358</v>
      </c>
      <c r="B295" s="130">
        <v>157.5</v>
      </c>
    </row>
    <row r="296" spans="1:4" x14ac:dyDescent="0.25">
      <c r="A296" s="129" t="s">
        <v>359</v>
      </c>
      <c r="B296" s="130">
        <v>158.5</v>
      </c>
    </row>
    <row r="297" spans="1:4" x14ac:dyDescent="0.25">
      <c r="A297" s="129" t="s">
        <v>360</v>
      </c>
      <c r="B297" s="130">
        <v>159.30000000000001</v>
      </c>
    </row>
    <row r="298" spans="1:4" x14ac:dyDescent="0.25">
      <c r="A298" s="129" t="s">
        <v>361</v>
      </c>
      <c r="B298" s="130">
        <v>159.5</v>
      </c>
    </row>
    <row r="299" spans="1:4" x14ac:dyDescent="0.25">
      <c r="A299" s="129" t="s">
        <v>362</v>
      </c>
      <c r="B299" s="130">
        <v>159.6</v>
      </c>
    </row>
    <row r="300" spans="1:4" x14ac:dyDescent="0.25">
      <c r="A300" s="129" t="s">
        <v>363</v>
      </c>
      <c r="B300" s="130">
        <v>160</v>
      </c>
    </row>
    <row r="301" spans="1:4" x14ac:dyDescent="0.25">
      <c r="A301" s="129" t="s">
        <v>364</v>
      </c>
      <c r="B301" s="130">
        <v>159.5</v>
      </c>
    </row>
    <row r="302" spans="1:4" x14ac:dyDescent="0.25">
      <c r="A302" s="129" t="s">
        <v>365</v>
      </c>
      <c r="B302" s="130">
        <v>160.30000000000001</v>
      </c>
    </row>
    <row r="303" spans="1:4" x14ac:dyDescent="0.25">
      <c r="A303" s="129" t="s">
        <v>366</v>
      </c>
      <c r="B303" s="130">
        <v>160.80000000000001</v>
      </c>
    </row>
    <row r="304" spans="1:4" x14ac:dyDescent="0.25">
      <c r="A304" s="129" t="s">
        <v>367</v>
      </c>
      <c r="B304" s="130">
        <v>162.6</v>
      </c>
      <c r="C304" s="131">
        <f>AVERAGE(B304:B315)</f>
        <v>163.75833333333335</v>
      </c>
      <c r="D304" t="s">
        <v>633</v>
      </c>
    </row>
    <row r="305" spans="1:2" x14ac:dyDescent="0.25">
      <c r="A305" s="129" t="s">
        <v>368</v>
      </c>
      <c r="B305" s="130">
        <v>163.5</v>
      </c>
    </row>
    <row r="306" spans="1:2" x14ac:dyDescent="0.25">
      <c r="A306" s="129" t="s">
        <v>369</v>
      </c>
      <c r="B306" s="130">
        <v>163.4</v>
      </c>
    </row>
    <row r="307" spans="1:2" x14ac:dyDescent="0.25">
      <c r="A307" s="129" t="s">
        <v>370</v>
      </c>
      <c r="B307" s="130">
        <v>163</v>
      </c>
    </row>
    <row r="308" spans="1:2" x14ac:dyDescent="0.25">
      <c r="A308" s="129" t="s">
        <v>371</v>
      </c>
      <c r="B308" s="130">
        <v>163.69999999999999</v>
      </c>
    </row>
    <row r="309" spans="1:2" x14ac:dyDescent="0.25">
      <c r="A309" s="129" t="s">
        <v>372</v>
      </c>
      <c r="B309" s="130">
        <v>164.4</v>
      </c>
    </row>
    <row r="310" spans="1:2" x14ac:dyDescent="0.25">
      <c r="A310" s="129" t="s">
        <v>373</v>
      </c>
      <c r="B310" s="130">
        <v>164.5</v>
      </c>
    </row>
    <row r="311" spans="1:2" x14ac:dyDescent="0.25">
      <c r="A311" s="129" t="s">
        <v>374</v>
      </c>
      <c r="B311" s="130">
        <v>164.4</v>
      </c>
    </row>
    <row r="312" spans="1:2" x14ac:dyDescent="0.25">
      <c r="A312" s="129" t="s">
        <v>375</v>
      </c>
      <c r="B312" s="130">
        <v>164.4</v>
      </c>
    </row>
    <row r="313" spans="1:2" x14ac:dyDescent="0.25">
      <c r="A313" s="129" t="s">
        <v>376</v>
      </c>
      <c r="B313" s="130">
        <v>163.4</v>
      </c>
    </row>
    <row r="314" spans="1:2" x14ac:dyDescent="0.25">
      <c r="A314" s="129" t="s">
        <v>377</v>
      </c>
      <c r="B314" s="130">
        <v>163.69999999999999</v>
      </c>
    </row>
    <row r="315" spans="1:2" x14ac:dyDescent="0.25">
      <c r="A315" s="129" t="s">
        <v>378</v>
      </c>
      <c r="B315" s="130">
        <v>164.1</v>
      </c>
    </row>
    <row r="316" spans="1:2" x14ac:dyDescent="0.25">
      <c r="A316" s="129" t="s">
        <v>379</v>
      </c>
      <c r="B316" s="130">
        <v>165.2</v>
      </c>
    </row>
    <row r="317" spans="1:2" x14ac:dyDescent="0.25">
      <c r="A317" s="129" t="s">
        <v>380</v>
      </c>
      <c r="B317" s="130">
        <v>165.6</v>
      </c>
    </row>
    <row r="318" spans="1:2" x14ac:dyDescent="0.25">
      <c r="A318" s="129" t="s">
        <v>381</v>
      </c>
      <c r="B318" s="130">
        <v>165.6</v>
      </c>
    </row>
    <row r="319" spans="1:2" x14ac:dyDescent="0.25">
      <c r="A319" s="129" t="s">
        <v>382</v>
      </c>
      <c r="B319" s="130">
        <v>165.1</v>
      </c>
    </row>
    <row r="320" spans="1:2" x14ac:dyDescent="0.25">
      <c r="A320" s="129" t="s">
        <v>383</v>
      </c>
      <c r="B320" s="130">
        <v>165.5</v>
      </c>
    </row>
    <row r="321" spans="1:2" x14ac:dyDescent="0.25">
      <c r="A321" s="129" t="s">
        <v>384</v>
      </c>
      <c r="B321" s="130">
        <v>166.2</v>
      </c>
    </row>
    <row r="322" spans="1:2" x14ac:dyDescent="0.25">
      <c r="A322" s="129" t="s">
        <v>385</v>
      </c>
      <c r="B322" s="130">
        <v>166.5</v>
      </c>
    </row>
    <row r="323" spans="1:2" x14ac:dyDescent="0.25">
      <c r="A323" s="129" t="s">
        <v>386</v>
      </c>
      <c r="B323" s="130">
        <v>166.7</v>
      </c>
    </row>
    <row r="324" spans="1:2" x14ac:dyDescent="0.25">
      <c r="A324" s="129" t="s">
        <v>387</v>
      </c>
      <c r="B324" s="130">
        <v>167.3</v>
      </c>
    </row>
    <row r="325" spans="1:2" x14ac:dyDescent="0.25">
      <c r="A325" s="129" t="s">
        <v>388</v>
      </c>
      <c r="B325" s="130">
        <v>166.6</v>
      </c>
    </row>
    <row r="326" spans="1:2" x14ac:dyDescent="0.25">
      <c r="A326" s="129" t="s">
        <v>389</v>
      </c>
      <c r="B326" s="130">
        <v>167.5</v>
      </c>
    </row>
    <row r="327" spans="1:2" x14ac:dyDescent="0.25">
      <c r="A327" s="129" t="s">
        <v>390</v>
      </c>
      <c r="B327" s="130">
        <v>168.4</v>
      </c>
    </row>
    <row r="328" spans="1:2" x14ac:dyDescent="0.25">
      <c r="A328" s="129" t="s">
        <v>391</v>
      </c>
      <c r="B328" s="130">
        <v>170.1</v>
      </c>
    </row>
    <row r="329" spans="1:2" x14ac:dyDescent="0.25">
      <c r="A329" s="129" t="s">
        <v>392</v>
      </c>
      <c r="B329" s="130">
        <v>170.7</v>
      </c>
    </row>
    <row r="330" spans="1:2" x14ac:dyDescent="0.25">
      <c r="A330" s="129" t="s">
        <v>393</v>
      </c>
      <c r="B330" s="130">
        <v>171.1</v>
      </c>
    </row>
    <row r="331" spans="1:2" x14ac:dyDescent="0.25">
      <c r="A331" s="129" t="s">
        <v>394</v>
      </c>
      <c r="B331" s="130">
        <v>170.5</v>
      </c>
    </row>
    <row r="332" spans="1:2" x14ac:dyDescent="0.25">
      <c r="A332" s="129" t="s">
        <v>395</v>
      </c>
      <c r="B332" s="130">
        <v>170.5</v>
      </c>
    </row>
    <row r="333" spans="1:2" x14ac:dyDescent="0.25">
      <c r="A333" s="129" t="s">
        <v>396</v>
      </c>
      <c r="B333" s="130">
        <v>171.7</v>
      </c>
    </row>
    <row r="334" spans="1:2" x14ac:dyDescent="0.25">
      <c r="A334" s="129" t="s">
        <v>397</v>
      </c>
      <c r="B334" s="130">
        <v>171.6</v>
      </c>
    </row>
    <row r="335" spans="1:2" x14ac:dyDescent="0.25">
      <c r="A335" s="129" t="s">
        <v>398</v>
      </c>
      <c r="B335" s="130">
        <v>172.1</v>
      </c>
    </row>
    <row r="336" spans="1:2" x14ac:dyDescent="0.25">
      <c r="A336" s="129" t="s">
        <v>399</v>
      </c>
      <c r="B336" s="130">
        <v>172.2</v>
      </c>
    </row>
    <row r="337" spans="1:2" x14ac:dyDescent="0.25">
      <c r="A337" s="129" t="s">
        <v>400</v>
      </c>
      <c r="B337" s="130">
        <v>171.1</v>
      </c>
    </row>
    <row r="338" spans="1:2" x14ac:dyDescent="0.25">
      <c r="A338" s="129" t="s">
        <v>401</v>
      </c>
      <c r="B338" s="130">
        <v>172</v>
      </c>
    </row>
    <row r="339" spans="1:2" x14ac:dyDescent="0.25">
      <c r="A339" s="129" t="s">
        <v>402</v>
      </c>
      <c r="B339" s="130">
        <v>172.2</v>
      </c>
    </row>
    <row r="340" spans="1:2" x14ac:dyDescent="0.25">
      <c r="A340" s="129" t="s">
        <v>403</v>
      </c>
      <c r="B340" s="130">
        <v>173.1</v>
      </c>
    </row>
    <row r="341" spans="1:2" x14ac:dyDescent="0.25">
      <c r="A341" s="129" t="s">
        <v>404</v>
      </c>
      <c r="B341" s="130">
        <v>174.2</v>
      </c>
    </row>
    <row r="342" spans="1:2" x14ac:dyDescent="0.25">
      <c r="A342" s="129" t="s">
        <v>405</v>
      </c>
      <c r="B342" s="130">
        <v>174.4</v>
      </c>
    </row>
    <row r="343" spans="1:2" x14ac:dyDescent="0.25">
      <c r="A343" s="129" t="s">
        <v>406</v>
      </c>
      <c r="B343" s="130">
        <v>173.3</v>
      </c>
    </row>
    <row r="344" spans="1:2" x14ac:dyDescent="0.25">
      <c r="A344" s="129" t="s">
        <v>407</v>
      </c>
      <c r="B344" s="130">
        <v>174</v>
      </c>
    </row>
    <row r="345" spans="1:2" x14ac:dyDescent="0.25">
      <c r="A345" s="129" t="s">
        <v>408</v>
      </c>
      <c r="B345" s="130">
        <v>174.6</v>
      </c>
    </row>
    <row r="346" spans="1:2" x14ac:dyDescent="0.25">
      <c r="A346" s="129" t="s">
        <v>409</v>
      </c>
      <c r="B346" s="130">
        <v>174.3</v>
      </c>
    </row>
    <row r="347" spans="1:2" x14ac:dyDescent="0.25">
      <c r="A347" s="129" t="s">
        <v>410</v>
      </c>
      <c r="B347" s="130">
        <v>173.6</v>
      </c>
    </row>
    <row r="348" spans="1:2" x14ac:dyDescent="0.25">
      <c r="A348" s="129" t="s">
        <v>411</v>
      </c>
      <c r="B348" s="130">
        <v>173.4</v>
      </c>
    </row>
    <row r="349" spans="1:2" x14ac:dyDescent="0.25">
      <c r="A349" s="129" t="s">
        <v>412</v>
      </c>
      <c r="B349" s="130">
        <v>173.3</v>
      </c>
    </row>
    <row r="350" spans="1:2" x14ac:dyDescent="0.25">
      <c r="A350" s="129" t="s">
        <v>413</v>
      </c>
      <c r="B350" s="130">
        <v>173.8</v>
      </c>
    </row>
    <row r="351" spans="1:2" x14ac:dyDescent="0.25">
      <c r="A351" s="129" t="s">
        <v>414</v>
      </c>
      <c r="B351" s="130">
        <v>174.5</v>
      </c>
    </row>
    <row r="352" spans="1:2" x14ac:dyDescent="0.25">
      <c r="A352" s="129" t="s">
        <v>415</v>
      </c>
      <c r="B352" s="130">
        <v>175.7</v>
      </c>
    </row>
    <row r="353" spans="1:2" x14ac:dyDescent="0.25">
      <c r="A353" s="129" t="s">
        <v>416</v>
      </c>
      <c r="B353" s="130">
        <v>176.2</v>
      </c>
    </row>
    <row r="354" spans="1:2" x14ac:dyDescent="0.25">
      <c r="A354" s="129" t="s">
        <v>417</v>
      </c>
      <c r="B354" s="130">
        <v>176.2</v>
      </c>
    </row>
    <row r="355" spans="1:2" x14ac:dyDescent="0.25">
      <c r="A355" s="129" t="s">
        <v>418</v>
      </c>
      <c r="B355" s="130">
        <v>175.9</v>
      </c>
    </row>
    <row r="356" spans="1:2" x14ac:dyDescent="0.25">
      <c r="A356" s="129" t="s">
        <v>419</v>
      </c>
      <c r="B356" s="130">
        <v>176.4</v>
      </c>
    </row>
    <row r="357" spans="1:2" x14ac:dyDescent="0.25">
      <c r="A357" s="129" t="s">
        <v>420</v>
      </c>
      <c r="B357" s="130">
        <v>177.6</v>
      </c>
    </row>
    <row r="358" spans="1:2" x14ac:dyDescent="0.25">
      <c r="A358" s="129" t="s">
        <v>421</v>
      </c>
      <c r="B358" s="130">
        <v>177.9</v>
      </c>
    </row>
    <row r="359" spans="1:2" x14ac:dyDescent="0.25">
      <c r="A359" s="129" t="s">
        <v>422</v>
      </c>
      <c r="B359" s="130">
        <v>178.2</v>
      </c>
    </row>
    <row r="360" spans="1:2" x14ac:dyDescent="0.25">
      <c r="A360" s="129" t="s">
        <v>423</v>
      </c>
      <c r="B360" s="130">
        <v>178.5</v>
      </c>
    </row>
    <row r="361" spans="1:2" x14ac:dyDescent="0.25">
      <c r="A361" s="129" t="s">
        <v>424</v>
      </c>
      <c r="B361" s="130">
        <v>178.4</v>
      </c>
    </row>
    <row r="362" spans="1:2" x14ac:dyDescent="0.25">
      <c r="A362" s="129" t="s">
        <v>425</v>
      </c>
      <c r="B362" s="130">
        <v>179.3</v>
      </c>
    </row>
    <row r="363" spans="1:2" x14ac:dyDescent="0.25">
      <c r="A363" s="129" t="s">
        <v>426</v>
      </c>
      <c r="B363" s="130">
        <v>179.9</v>
      </c>
    </row>
    <row r="364" spans="1:2" x14ac:dyDescent="0.25">
      <c r="A364" s="129" t="s">
        <v>427</v>
      </c>
      <c r="B364" s="130">
        <v>181.2</v>
      </c>
    </row>
    <row r="365" spans="1:2" x14ac:dyDescent="0.25">
      <c r="A365" s="129" t="s">
        <v>428</v>
      </c>
      <c r="B365" s="130">
        <v>181.5</v>
      </c>
    </row>
    <row r="366" spans="1:2" x14ac:dyDescent="0.25">
      <c r="A366" s="129" t="s">
        <v>429</v>
      </c>
      <c r="B366" s="130">
        <v>181.3</v>
      </c>
    </row>
    <row r="367" spans="1:2" x14ac:dyDescent="0.25">
      <c r="A367" s="129" t="s">
        <v>430</v>
      </c>
      <c r="B367" s="130">
        <v>181.3</v>
      </c>
    </row>
    <row r="368" spans="1:2" x14ac:dyDescent="0.25">
      <c r="A368" s="129" t="s">
        <v>431</v>
      </c>
      <c r="B368" s="130">
        <v>181.6</v>
      </c>
    </row>
    <row r="369" spans="1:2" x14ac:dyDescent="0.25">
      <c r="A369" s="129" t="s">
        <v>432</v>
      </c>
      <c r="B369" s="130">
        <v>182.5</v>
      </c>
    </row>
    <row r="370" spans="1:2" x14ac:dyDescent="0.25">
      <c r="A370" s="129" t="s">
        <v>433</v>
      </c>
      <c r="B370" s="130">
        <v>182.6</v>
      </c>
    </row>
    <row r="371" spans="1:2" x14ac:dyDescent="0.25">
      <c r="A371" s="129" t="s">
        <v>434</v>
      </c>
      <c r="B371" s="130">
        <v>182.7</v>
      </c>
    </row>
    <row r="372" spans="1:2" x14ac:dyDescent="0.25">
      <c r="A372" s="129" t="s">
        <v>435</v>
      </c>
      <c r="B372" s="130">
        <v>183.5</v>
      </c>
    </row>
    <row r="373" spans="1:2" x14ac:dyDescent="0.25">
      <c r="A373" s="129" t="s">
        <v>436</v>
      </c>
      <c r="B373" s="130">
        <v>183.1</v>
      </c>
    </row>
    <row r="374" spans="1:2" x14ac:dyDescent="0.25">
      <c r="A374" s="129" t="s">
        <v>437</v>
      </c>
      <c r="B374" s="130">
        <v>183.8</v>
      </c>
    </row>
    <row r="375" spans="1:2" x14ac:dyDescent="0.25">
      <c r="A375" s="129" t="s">
        <v>438</v>
      </c>
      <c r="B375" s="130">
        <v>184.6</v>
      </c>
    </row>
    <row r="376" spans="1:2" x14ac:dyDescent="0.25">
      <c r="A376" s="129" t="s">
        <v>439</v>
      </c>
      <c r="B376" s="130">
        <v>185.7</v>
      </c>
    </row>
    <row r="377" spans="1:2" x14ac:dyDescent="0.25">
      <c r="A377" s="129" t="s">
        <v>440</v>
      </c>
      <c r="B377" s="130">
        <v>186.5</v>
      </c>
    </row>
    <row r="378" spans="1:2" x14ac:dyDescent="0.25">
      <c r="A378" s="129" t="s">
        <v>441</v>
      </c>
      <c r="B378" s="130">
        <v>186.8</v>
      </c>
    </row>
    <row r="379" spans="1:2" x14ac:dyDescent="0.25">
      <c r="A379" s="129" t="s">
        <v>442</v>
      </c>
      <c r="B379" s="130">
        <v>186.8</v>
      </c>
    </row>
    <row r="380" spans="1:2" x14ac:dyDescent="0.25">
      <c r="A380" s="129" t="s">
        <v>443</v>
      </c>
      <c r="B380" s="130">
        <v>187.4</v>
      </c>
    </row>
    <row r="381" spans="1:2" x14ac:dyDescent="0.25">
      <c r="A381" s="129" t="s">
        <v>444</v>
      </c>
      <c r="B381" s="130">
        <v>188.1</v>
      </c>
    </row>
    <row r="382" spans="1:2" x14ac:dyDescent="0.25">
      <c r="A382" s="129" t="s">
        <v>445</v>
      </c>
      <c r="B382" s="130">
        <v>188.6</v>
      </c>
    </row>
    <row r="383" spans="1:2" x14ac:dyDescent="0.25">
      <c r="A383" s="129" t="s">
        <v>446</v>
      </c>
      <c r="B383" s="130">
        <v>189</v>
      </c>
    </row>
    <row r="384" spans="1:2" x14ac:dyDescent="0.25">
      <c r="A384" s="129" t="s">
        <v>447</v>
      </c>
      <c r="B384" s="130">
        <v>189.9</v>
      </c>
    </row>
    <row r="385" spans="1:3" x14ac:dyDescent="0.25">
      <c r="A385" s="129" t="s">
        <v>448</v>
      </c>
      <c r="B385" s="130">
        <v>188.9</v>
      </c>
    </row>
    <row r="386" spans="1:3" x14ac:dyDescent="0.25">
      <c r="A386" s="129" t="s">
        <v>449</v>
      </c>
      <c r="B386" s="130">
        <v>189.6</v>
      </c>
    </row>
    <row r="387" spans="1:3" x14ac:dyDescent="0.25">
      <c r="A387" s="129" t="s">
        <v>450</v>
      </c>
      <c r="B387" s="130">
        <v>190.5</v>
      </c>
    </row>
    <row r="388" spans="1:3" x14ac:dyDescent="0.25">
      <c r="A388" s="129" t="s">
        <v>451</v>
      </c>
      <c r="B388" s="130">
        <v>191.6</v>
      </c>
    </row>
    <row r="389" spans="1:3" x14ac:dyDescent="0.25">
      <c r="A389" s="129" t="s">
        <v>452</v>
      </c>
      <c r="B389" s="130">
        <v>192</v>
      </c>
    </row>
    <row r="390" spans="1:3" x14ac:dyDescent="0.25">
      <c r="A390" s="129" t="s">
        <v>453</v>
      </c>
      <c r="B390" s="130">
        <v>192.2</v>
      </c>
    </row>
    <row r="391" spans="1:3" x14ac:dyDescent="0.25">
      <c r="A391" s="129" t="s">
        <v>454</v>
      </c>
      <c r="B391" s="130">
        <v>192.2</v>
      </c>
    </row>
    <row r="392" spans="1:3" x14ac:dyDescent="0.25">
      <c r="A392" s="129" t="s">
        <v>455</v>
      </c>
      <c r="B392" s="130">
        <v>192.6</v>
      </c>
    </row>
    <row r="393" spans="1:3" x14ac:dyDescent="0.25">
      <c r="A393" s="129" t="s">
        <v>456</v>
      </c>
      <c r="B393" s="130">
        <v>193.1</v>
      </c>
    </row>
    <row r="394" spans="1:3" x14ac:dyDescent="0.25">
      <c r="A394" s="129" t="s">
        <v>457</v>
      </c>
      <c r="B394" s="130">
        <v>193.3</v>
      </c>
    </row>
    <row r="395" spans="1:3" x14ac:dyDescent="0.25">
      <c r="A395" s="129" t="s">
        <v>458</v>
      </c>
      <c r="B395" s="130">
        <v>193.6</v>
      </c>
    </row>
    <row r="396" spans="1:3" x14ac:dyDescent="0.25">
      <c r="A396" s="129" t="s">
        <v>459</v>
      </c>
      <c r="B396" s="130">
        <v>194.1</v>
      </c>
    </row>
    <row r="397" spans="1:3" x14ac:dyDescent="0.25">
      <c r="A397" s="129" t="s">
        <v>460</v>
      </c>
      <c r="B397" s="130">
        <v>193.4</v>
      </c>
      <c r="C397" s="131"/>
    </row>
    <row r="398" spans="1:3" x14ac:dyDescent="0.25">
      <c r="A398" s="129" t="s">
        <v>461</v>
      </c>
      <c r="B398" s="130">
        <v>194.2</v>
      </c>
    </row>
    <row r="399" spans="1:3" x14ac:dyDescent="0.25">
      <c r="A399" s="129" t="s">
        <v>462</v>
      </c>
      <c r="B399" s="130">
        <v>195</v>
      </c>
    </row>
    <row r="400" spans="1:3" x14ac:dyDescent="0.25">
      <c r="A400" s="129" t="s">
        <v>463</v>
      </c>
      <c r="B400" s="130">
        <v>196.5</v>
      </c>
      <c r="C400" s="131"/>
    </row>
    <row r="401" spans="1:2" x14ac:dyDescent="0.25">
      <c r="A401" s="129" t="s">
        <v>464</v>
      </c>
      <c r="B401" s="130">
        <v>197.7</v>
      </c>
    </row>
    <row r="402" spans="1:2" x14ac:dyDescent="0.25">
      <c r="A402" s="129" t="s">
        <v>465</v>
      </c>
      <c r="B402" s="130">
        <v>198.5</v>
      </c>
    </row>
    <row r="403" spans="1:2" x14ac:dyDescent="0.25">
      <c r="A403" s="129" t="s">
        <v>466</v>
      </c>
      <c r="B403" s="130">
        <v>198.5</v>
      </c>
    </row>
    <row r="404" spans="1:2" x14ac:dyDescent="0.25">
      <c r="A404" s="129" t="s">
        <v>467</v>
      </c>
      <c r="B404" s="130">
        <v>199.2</v>
      </c>
    </row>
    <row r="405" spans="1:2" x14ac:dyDescent="0.25">
      <c r="A405" s="129" t="s">
        <v>468</v>
      </c>
      <c r="B405" s="130">
        <v>200.1</v>
      </c>
    </row>
    <row r="406" spans="1:2" x14ac:dyDescent="0.25">
      <c r="A406" s="129" t="s">
        <v>469</v>
      </c>
      <c r="B406" s="130">
        <v>200.4</v>
      </c>
    </row>
    <row r="407" spans="1:2" x14ac:dyDescent="0.25">
      <c r="A407" s="129" t="s">
        <v>470</v>
      </c>
      <c r="B407" s="130">
        <v>201.1</v>
      </c>
    </row>
    <row r="408" spans="1:2" x14ac:dyDescent="0.25">
      <c r="A408" s="129" t="s">
        <v>471</v>
      </c>
      <c r="B408" s="130">
        <v>202.7</v>
      </c>
    </row>
    <row r="409" spans="1:2" x14ac:dyDescent="0.25">
      <c r="A409" s="129" t="s">
        <v>472</v>
      </c>
      <c r="B409" s="130">
        <v>201.6</v>
      </c>
    </row>
    <row r="410" spans="1:2" x14ac:dyDescent="0.25">
      <c r="A410" s="129" t="s">
        <v>473</v>
      </c>
      <c r="B410" s="130">
        <v>203.1</v>
      </c>
    </row>
    <row r="411" spans="1:2" x14ac:dyDescent="0.25">
      <c r="A411" s="129" t="s">
        <v>474</v>
      </c>
      <c r="B411" s="130">
        <v>204.4</v>
      </c>
    </row>
    <row r="412" spans="1:2" x14ac:dyDescent="0.25">
      <c r="A412" s="129" t="s">
        <v>475</v>
      </c>
      <c r="B412" s="130">
        <v>205.4</v>
      </c>
    </row>
    <row r="413" spans="1:2" x14ac:dyDescent="0.25">
      <c r="A413" s="129" t="s">
        <v>476</v>
      </c>
      <c r="B413" s="130">
        <v>206.2</v>
      </c>
    </row>
    <row r="414" spans="1:2" x14ac:dyDescent="0.25">
      <c r="A414" s="129" t="s">
        <v>477</v>
      </c>
      <c r="B414" s="130">
        <v>207.3</v>
      </c>
    </row>
    <row r="415" spans="1:2" x14ac:dyDescent="0.25">
      <c r="A415" s="129" t="s">
        <v>478</v>
      </c>
      <c r="B415" s="130">
        <v>206.1</v>
      </c>
    </row>
    <row r="416" spans="1:2" x14ac:dyDescent="0.25">
      <c r="A416" s="129" t="s">
        <v>479</v>
      </c>
      <c r="B416" s="130">
        <v>207.3</v>
      </c>
    </row>
    <row r="417" spans="1:2" x14ac:dyDescent="0.25">
      <c r="A417" s="129" t="s">
        <v>480</v>
      </c>
      <c r="B417" s="130">
        <v>208</v>
      </c>
    </row>
    <row r="418" spans="1:2" x14ac:dyDescent="0.25">
      <c r="A418" s="129" t="s">
        <v>481</v>
      </c>
      <c r="B418" s="130">
        <v>208.9</v>
      </c>
    </row>
    <row r="419" spans="1:2" x14ac:dyDescent="0.25">
      <c r="A419" s="129" t="s">
        <v>482</v>
      </c>
      <c r="B419" s="130">
        <v>209.7</v>
      </c>
    </row>
    <row r="420" spans="1:2" x14ac:dyDescent="0.25">
      <c r="A420" s="129" t="s">
        <v>483</v>
      </c>
      <c r="B420" s="130">
        <v>210.9</v>
      </c>
    </row>
    <row r="421" spans="1:2" x14ac:dyDescent="0.25">
      <c r="A421" s="129" t="s">
        <v>484</v>
      </c>
      <c r="B421" s="130">
        <v>209.8</v>
      </c>
    </row>
    <row r="422" spans="1:2" x14ac:dyDescent="0.25">
      <c r="A422" s="129" t="s">
        <v>485</v>
      </c>
      <c r="B422" s="130">
        <v>211.4</v>
      </c>
    </row>
    <row r="423" spans="1:2" x14ac:dyDescent="0.25">
      <c r="A423" s="129" t="s">
        <v>486</v>
      </c>
      <c r="B423" s="130">
        <v>212.1</v>
      </c>
    </row>
    <row r="424" spans="1:2" x14ac:dyDescent="0.25">
      <c r="A424" s="129" t="s">
        <v>487</v>
      </c>
      <c r="B424" s="130">
        <v>214</v>
      </c>
    </row>
    <row r="425" spans="1:2" x14ac:dyDescent="0.25">
      <c r="A425" s="129" t="s">
        <v>488</v>
      </c>
      <c r="B425" s="130">
        <v>215.1</v>
      </c>
    </row>
    <row r="426" spans="1:2" x14ac:dyDescent="0.25">
      <c r="A426" s="129" t="s">
        <v>489</v>
      </c>
      <c r="B426" s="130">
        <v>216.8</v>
      </c>
    </row>
    <row r="427" spans="1:2" x14ac:dyDescent="0.25">
      <c r="A427" s="129" t="s">
        <v>490</v>
      </c>
      <c r="B427" s="130">
        <v>216.5</v>
      </c>
    </row>
    <row r="428" spans="1:2" x14ac:dyDescent="0.25">
      <c r="A428" s="129" t="s">
        <v>491</v>
      </c>
      <c r="B428" s="130">
        <v>217.2</v>
      </c>
    </row>
    <row r="429" spans="1:2" x14ac:dyDescent="0.25">
      <c r="A429" s="129" t="s">
        <v>492</v>
      </c>
      <c r="B429" s="130">
        <v>218.4</v>
      </c>
    </row>
    <row r="430" spans="1:2" x14ac:dyDescent="0.25">
      <c r="A430" s="129" t="s">
        <v>493</v>
      </c>
      <c r="B430" s="130">
        <v>217.7</v>
      </c>
    </row>
    <row r="431" spans="1:2" x14ac:dyDescent="0.25">
      <c r="A431" s="129" t="s">
        <v>494</v>
      </c>
      <c r="B431" s="130">
        <v>216</v>
      </c>
    </row>
    <row r="432" spans="1:2" x14ac:dyDescent="0.25">
      <c r="A432" s="129" t="s">
        <v>495</v>
      </c>
      <c r="B432" s="130">
        <v>212.9</v>
      </c>
    </row>
    <row r="433" spans="1:4" x14ac:dyDescent="0.25">
      <c r="A433" s="129" t="s">
        <v>496</v>
      </c>
      <c r="B433" s="130">
        <v>210.1</v>
      </c>
    </row>
    <row r="434" spans="1:4" x14ac:dyDescent="0.25">
      <c r="A434" s="129" t="s">
        <v>497</v>
      </c>
      <c r="B434" s="130">
        <v>211.4</v>
      </c>
    </row>
    <row r="435" spans="1:4" x14ac:dyDescent="0.25">
      <c r="A435" s="129" t="s">
        <v>498</v>
      </c>
      <c r="B435" s="130">
        <v>211.3</v>
      </c>
    </row>
    <row r="436" spans="1:4" x14ac:dyDescent="0.25">
      <c r="A436" s="129" t="s">
        <v>499</v>
      </c>
      <c r="B436" s="130">
        <v>211.5</v>
      </c>
      <c r="C436" s="131">
        <f>AVERAGE(B436:B447)</f>
        <v>215.76666666666662</v>
      </c>
      <c r="D436" t="s">
        <v>616</v>
      </c>
    </row>
    <row r="437" spans="1:4" x14ac:dyDescent="0.25">
      <c r="A437" s="129" t="s">
        <v>500</v>
      </c>
      <c r="B437" s="130">
        <v>212.8</v>
      </c>
    </row>
    <row r="438" spans="1:4" x14ac:dyDescent="0.25">
      <c r="A438" s="129" t="s">
        <v>501</v>
      </c>
      <c r="B438" s="130">
        <v>213.4</v>
      </c>
    </row>
    <row r="439" spans="1:4" x14ac:dyDescent="0.25">
      <c r="A439" s="129" t="s">
        <v>502</v>
      </c>
      <c r="B439" s="130">
        <v>213.4</v>
      </c>
    </row>
    <row r="440" spans="1:4" x14ac:dyDescent="0.25">
      <c r="A440" s="129" t="s">
        <v>503</v>
      </c>
      <c r="B440" s="130">
        <v>214.4</v>
      </c>
    </row>
    <row r="441" spans="1:4" x14ac:dyDescent="0.25">
      <c r="A441" s="129" t="s">
        <v>504</v>
      </c>
      <c r="B441" s="130">
        <v>215.3</v>
      </c>
    </row>
    <row r="442" spans="1:4" x14ac:dyDescent="0.25">
      <c r="A442" s="129" t="s">
        <v>505</v>
      </c>
      <c r="B442" s="130">
        <v>216</v>
      </c>
    </row>
    <row r="443" spans="1:4" x14ac:dyDescent="0.25">
      <c r="A443" s="129" t="s">
        <v>506</v>
      </c>
      <c r="B443" s="130">
        <v>216.6</v>
      </c>
    </row>
    <row r="444" spans="1:4" x14ac:dyDescent="0.25">
      <c r="A444" s="129" t="s">
        <v>507</v>
      </c>
      <c r="B444" s="130">
        <v>218</v>
      </c>
    </row>
    <row r="445" spans="1:4" x14ac:dyDescent="0.25">
      <c r="A445" s="129" t="s">
        <v>508</v>
      </c>
      <c r="B445" s="130">
        <v>217.9</v>
      </c>
    </row>
    <row r="446" spans="1:4" x14ac:dyDescent="0.25">
      <c r="A446" s="129" t="s">
        <v>509</v>
      </c>
      <c r="B446" s="130">
        <v>219.2</v>
      </c>
    </row>
    <row r="447" spans="1:4" x14ac:dyDescent="0.25">
      <c r="A447" s="129" t="s">
        <v>510</v>
      </c>
      <c r="B447" s="130">
        <v>220.7</v>
      </c>
    </row>
    <row r="448" spans="1:4" x14ac:dyDescent="0.25">
      <c r="A448" s="129" t="s">
        <v>511</v>
      </c>
      <c r="B448" s="130">
        <v>222.8</v>
      </c>
    </row>
    <row r="449" spans="1:2" x14ac:dyDescent="0.25">
      <c r="A449" s="129" t="s">
        <v>512</v>
      </c>
      <c r="B449" s="130">
        <v>223.6</v>
      </c>
    </row>
    <row r="450" spans="1:2" x14ac:dyDescent="0.25">
      <c r="A450" s="129" t="s">
        <v>513</v>
      </c>
      <c r="B450" s="130">
        <v>224.1</v>
      </c>
    </row>
    <row r="451" spans="1:2" x14ac:dyDescent="0.25">
      <c r="A451" s="129" t="s">
        <v>514</v>
      </c>
      <c r="B451" s="130">
        <v>223.6</v>
      </c>
    </row>
    <row r="452" spans="1:2" x14ac:dyDescent="0.25">
      <c r="A452" s="129" t="s">
        <v>515</v>
      </c>
      <c r="B452" s="130">
        <v>224.5</v>
      </c>
    </row>
    <row r="453" spans="1:2" x14ac:dyDescent="0.25">
      <c r="A453" s="129" t="s">
        <v>516</v>
      </c>
      <c r="B453" s="130">
        <v>225.3</v>
      </c>
    </row>
    <row r="454" spans="1:2" x14ac:dyDescent="0.25">
      <c r="A454" s="129" t="s">
        <v>517</v>
      </c>
      <c r="B454" s="130">
        <v>225.8</v>
      </c>
    </row>
    <row r="455" spans="1:2" x14ac:dyDescent="0.25">
      <c r="A455" s="129" t="s">
        <v>518</v>
      </c>
      <c r="B455" s="130">
        <v>226.8</v>
      </c>
    </row>
    <row r="456" spans="1:2" x14ac:dyDescent="0.25">
      <c r="A456" s="129" t="s">
        <v>519</v>
      </c>
      <c r="B456" s="130">
        <v>228.4</v>
      </c>
    </row>
    <row r="457" spans="1:2" x14ac:dyDescent="0.25">
      <c r="A457" s="129" t="s">
        <v>520</v>
      </c>
      <c r="B457" s="130">
        <v>229</v>
      </c>
    </row>
    <row r="458" spans="1:2" x14ac:dyDescent="0.25">
      <c r="A458" s="129" t="s">
        <v>521</v>
      </c>
      <c r="B458" s="130">
        <v>231.3</v>
      </c>
    </row>
    <row r="459" spans="1:2" x14ac:dyDescent="0.25">
      <c r="A459" s="129" t="s">
        <v>522</v>
      </c>
      <c r="B459" s="130">
        <v>232.5</v>
      </c>
    </row>
    <row r="460" spans="1:2" x14ac:dyDescent="0.25">
      <c r="A460" s="129" t="s">
        <v>523</v>
      </c>
      <c r="B460" s="130">
        <v>234.4</v>
      </c>
    </row>
    <row r="461" spans="1:2" x14ac:dyDescent="0.25">
      <c r="A461" s="129" t="s">
        <v>524</v>
      </c>
      <c r="B461" s="130">
        <v>235.2</v>
      </c>
    </row>
    <row r="462" spans="1:2" x14ac:dyDescent="0.25">
      <c r="A462" s="129" t="s">
        <v>525</v>
      </c>
      <c r="B462" s="130">
        <v>235.2</v>
      </c>
    </row>
    <row r="463" spans="1:2" x14ac:dyDescent="0.25">
      <c r="A463" s="129" t="s">
        <v>526</v>
      </c>
      <c r="B463" s="130">
        <v>234.7</v>
      </c>
    </row>
    <row r="464" spans="1:2" x14ac:dyDescent="0.25">
      <c r="A464" s="129" t="s">
        <v>527</v>
      </c>
      <c r="B464" s="130">
        <v>236.1</v>
      </c>
    </row>
    <row r="465" spans="1:2" x14ac:dyDescent="0.25">
      <c r="A465" s="129" t="s">
        <v>528</v>
      </c>
      <c r="B465" s="130">
        <v>237.9</v>
      </c>
    </row>
    <row r="466" spans="1:2" x14ac:dyDescent="0.25">
      <c r="A466" s="129" t="s">
        <v>529</v>
      </c>
      <c r="B466" s="130">
        <v>238</v>
      </c>
    </row>
    <row r="467" spans="1:2" x14ac:dyDescent="0.25">
      <c r="A467" s="129" t="s">
        <v>530</v>
      </c>
      <c r="B467" s="130">
        <v>238.5</v>
      </c>
    </row>
    <row r="468" spans="1:2" x14ac:dyDescent="0.25">
      <c r="A468" s="129" t="s">
        <v>531</v>
      </c>
      <c r="B468" s="130">
        <v>239.4</v>
      </c>
    </row>
    <row r="469" spans="1:2" x14ac:dyDescent="0.25">
      <c r="A469" s="129" t="s">
        <v>532</v>
      </c>
      <c r="B469" s="130">
        <v>238</v>
      </c>
    </row>
    <row r="470" spans="1:2" x14ac:dyDescent="0.25">
      <c r="A470" s="129" t="s">
        <v>533</v>
      </c>
      <c r="B470" s="130">
        <v>239.9</v>
      </c>
    </row>
    <row r="471" spans="1:2" x14ac:dyDescent="0.25">
      <c r="A471" s="129" t="s">
        <v>534</v>
      </c>
      <c r="B471" s="130">
        <v>240.8</v>
      </c>
    </row>
    <row r="472" spans="1:2" x14ac:dyDescent="0.25">
      <c r="A472" s="129" t="s">
        <v>535</v>
      </c>
      <c r="B472" s="130">
        <v>242.5</v>
      </c>
    </row>
    <row r="473" spans="1:2" x14ac:dyDescent="0.25">
      <c r="A473" s="129" t="s">
        <v>536</v>
      </c>
      <c r="B473" s="130">
        <v>242.4</v>
      </c>
    </row>
    <row r="474" spans="1:2" x14ac:dyDescent="0.25">
      <c r="A474" s="129" t="s">
        <v>537</v>
      </c>
      <c r="B474" s="130">
        <v>241.8</v>
      </c>
    </row>
    <row r="475" spans="1:2" x14ac:dyDescent="0.25">
      <c r="A475" s="129" t="s">
        <v>538</v>
      </c>
      <c r="B475" s="130">
        <v>242.1</v>
      </c>
    </row>
    <row r="476" spans="1:2" x14ac:dyDescent="0.25">
      <c r="A476" s="129" t="s">
        <v>539</v>
      </c>
      <c r="B476" s="130">
        <v>243</v>
      </c>
    </row>
    <row r="477" spans="1:2" x14ac:dyDescent="0.25">
      <c r="A477" s="129" t="s">
        <v>540</v>
      </c>
      <c r="B477" s="130">
        <v>244.2</v>
      </c>
    </row>
    <row r="478" spans="1:2" x14ac:dyDescent="0.25">
      <c r="A478" s="129" t="s">
        <v>541</v>
      </c>
      <c r="B478" s="130">
        <v>245.6</v>
      </c>
    </row>
    <row r="479" spans="1:2" x14ac:dyDescent="0.25">
      <c r="A479" s="129" t="s">
        <v>542</v>
      </c>
      <c r="B479" s="130">
        <v>245.6</v>
      </c>
    </row>
    <row r="480" spans="1:2" x14ac:dyDescent="0.25">
      <c r="A480" s="129" t="s">
        <v>543</v>
      </c>
      <c r="B480" s="130">
        <v>246.8</v>
      </c>
    </row>
    <row r="481" spans="1:2" x14ac:dyDescent="0.25">
      <c r="A481" s="129" t="s">
        <v>544</v>
      </c>
      <c r="B481" s="130">
        <v>245.8</v>
      </c>
    </row>
    <row r="482" spans="1:2" x14ac:dyDescent="0.25">
      <c r="A482" s="129" t="s">
        <v>545</v>
      </c>
      <c r="B482" s="130">
        <v>247.6</v>
      </c>
    </row>
    <row r="483" spans="1:2" x14ac:dyDescent="0.25">
      <c r="A483" s="129" t="s">
        <v>546</v>
      </c>
      <c r="B483" s="130">
        <v>248.7</v>
      </c>
    </row>
    <row r="484" spans="1:2" x14ac:dyDescent="0.25">
      <c r="A484" s="129" t="s">
        <v>547</v>
      </c>
      <c r="B484" s="130">
        <v>249.5</v>
      </c>
    </row>
    <row r="485" spans="1:2" x14ac:dyDescent="0.25">
      <c r="A485" s="129" t="s">
        <v>548</v>
      </c>
      <c r="B485" s="130">
        <v>250</v>
      </c>
    </row>
    <row r="486" spans="1:2" x14ac:dyDescent="0.25">
      <c r="A486" s="129" t="s">
        <v>549</v>
      </c>
      <c r="B486" s="130">
        <v>249.7</v>
      </c>
    </row>
    <row r="487" spans="1:2" x14ac:dyDescent="0.25">
      <c r="A487" s="129" t="s">
        <v>550</v>
      </c>
      <c r="B487" s="130">
        <v>249.7</v>
      </c>
    </row>
    <row r="488" spans="1:2" x14ac:dyDescent="0.25">
      <c r="A488" s="129" t="s">
        <v>551</v>
      </c>
      <c r="B488" s="130">
        <v>251</v>
      </c>
    </row>
    <row r="489" spans="1:2" x14ac:dyDescent="0.25">
      <c r="A489" s="129" t="s">
        <v>552</v>
      </c>
      <c r="B489" s="130">
        <v>251.9</v>
      </c>
    </row>
    <row r="490" spans="1:2" x14ac:dyDescent="0.25">
      <c r="A490" s="129" t="s">
        <v>553</v>
      </c>
      <c r="B490" s="130">
        <v>251.9</v>
      </c>
    </row>
    <row r="491" spans="1:2" x14ac:dyDescent="0.25">
      <c r="A491" s="129" t="s">
        <v>554</v>
      </c>
      <c r="B491" s="130">
        <v>252.1</v>
      </c>
    </row>
    <row r="492" spans="1:2" x14ac:dyDescent="0.25">
      <c r="A492" s="129" t="s">
        <v>555</v>
      </c>
      <c r="B492" s="130">
        <v>253.4</v>
      </c>
    </row>
    <row r="493" spans="1:2" x14ac:dyDescent="0.25">
      <c r="A493" s="129" t="s">
        <v>556</v>
      </c>
      <c r="B493" s="130">
        <v>252.6</v>
      </c>
    </row>
    <row r="494" spans="1:2" x14ac:dyDescent="0.25">
      <c r="A494" s="129" t="s">
        <v>557</v>
      </c>
      <c r="B494" s="130">
        <v>254.2</v>
      </c>
    </row>
    <row r="495" spans="1:2" x14ac:dyDescent="0.25">
      <c r="A495" s="129" t="s">
        <v>558</v>
      </c>
      <c r="B495" s="130">
        <v>254.8</v>
      </c>
    </row>
    <row r="496" spans="1:2" x14ac:dyDescent="0.25">
      <c r="A496" s="129" t="s">
        <v>559</v>
      </c>
      <c r="B496" s="130">
        <v>255.7</v>
      </c>
    </row>
    <row r="497" spans="1:4" x14ac:dyDescent="0.25">
      <c r="A497" s="129" t="s">
        <v>560</v>
      </c>
      <c r="B497" s="130">
        <v>255.9</v>
      </c>
    </row>
    <row r="498" spans="1:4" x14ac:dyDescent="0.25">
      <c r="A498" s="129" t="s">
        <v>561</v>
      </c>
      <c r="B498" s="130">
        <v>256.3</v>
      </c>
    </row>
    <row r="499" spans="1:4" x14ac:dyDescent="0.25">
      <c r="A499" s="129" t="s">
        <v>562</v>
      </c>
      <c r="B499" s="130">
        <v>256</v>
      </c>
    </row>
    <row r="500" spans="1:4" x14ac:dyDescent="0.25">
      <c r="A500" s="129" t="s">
        <v>563</v>
      </c>
      <c r="B500" s="130">
        <v>257</v>
      </c>
    </row>
    <row r="501" spans="1:4" x14ac:dyDescent="0.25">
      <c r="A501" s="129" t="s">
        <v>564</v>
      </c>
      <c r="B501" s="130">
        <v>257.60000000000002</v>
      </c>
    </row>
    <row r="502" spans="1:4" x14ac:dyDescent="0.25">
      <c r="A502" s="129" t="s">
        <v>565</v>
      </c>
      <c r="B502" s="130">
        <v>257.7</v>
      </c>
    </row>
    <row r="503" spans="1:4" x14ac:dyDescent="0.25">
      <c r="A503" s="129" t="s">
        <v>566</v>
      </c>
      <c r="B503" s="130">
        <v>257.10000000000002</v>
      </c>
    </row>
    <row r="504" spans="1:4" x14ac:dyDescent="0.25">
      <c r="A504" s="129" t="s">
        <v>567</v>
      </c>
      <c r="B504" s="130">
        <v>257.5</v>
      </c>
    </row>
    <row r="505" spans="1:4" x14ac:dyDescent="0.25">
      <c r="A505" s="129" t="s">
        <v>568</v>
      </c>
      <c r="B505" s="130">
        <v>255.4</v>
      </c>
    </row>
    <row r="506" spans="1:4" x14ac:dyDescent="0.25">
      <c r="A506" s="129" t="s">
        <v>569</v>
      </c>
      <c r="B506" s="130">
        <v>256.7</v>
      </c>
    </row>
    <row r="507" spans="1:4" x14ac:dyDescent="0.25">
      <c r="A507" s="129" t="s">
        <v>570</v>
      </c>
      <c r="B507" s="130">
        <v>257.10000000000002</v>
      </c>
    </row>
    <row r="508" spans="1:4" x14ac:dyDescent="0.25">
      <c r="A508" s="129" t="s">
        <v>571</v>
      </c>
      <c r="B508" s="130">
        <v>258</v>
      </c>
      <c r="C508" s="131">
        <f>AVERAGE(B508:B519)</f>
        <v>259.43333333333334</v>
      </c>
      <c r="D508">
        <f>C508/C436</f>
        <v>1.2023791132396109</v>
      </c>
    </row>
    <row r="509" spans="1:4" x14ac:dyDescent="0.25">
      <c r="A509" s="129" t="s">
        <v>572</v>
      </c>
      <c r="B509" s="130">
        <v>258.5</v>
      </c>
    </row>
    <row r="510" spans="1:4" x14ac:dyDescent="0.25">
      <c r="A510" s="129" t="s">
        <v>573</v>
      </c>
      <c r="B510" s="130">
        <v>258.89999999999998</v>
      </c>
    </row>
    <row r="511" spans="1:4" x14ac:dyDescent="0.25">
      <c r="A511" s="129" t="s">
        <v>574</v>
      </c>
      <c r="B511" s="130">
        <v>258.60000000000002</v>
      </c>
    </row>
    <row r="512" spans="1:4" x14ac:dyDescent="0.25">
      <c r="A512" s="129" t="s">
        <v>575</v>
      </c>
      <c r="B512" s="130">
        <v>259.8</v>
      </c>
    </row>
    <row r="513" spans="1:2" x14ac:dyDescent="0.25">
      <c r="A513" s="129" t="s">
        <v>576</v>
      </c>
      <c r="B513" s="130">
        <v>259.60000000000002</v>
      </c>
    </row>
    <row r="514" spans="1:2" x14ac:dyDescent="0.25">
      <c r="A514" s="129" t="s">
        <v>577</v>
      </c>
      <c r="B514" s="130">
        <v>259.5</v>
      </c>
    </row>
    <row r="515" spans="1:2" x14ac:dyDescent="0.25">
      <c r="A515" s="129" t="s">
        <v>578</v>
      </c>
      <c r="B515" s="130">
        <v>259.8</v>
      </c>
    </row>
    <row r="516" spans="1:2" x14ac:dyDescent="0.25">
      <c r="A516" s="129" t="s">
        <v>579</v>
      </c>
      <c r="B516" s="130">
        <v>260.60000000000002</v>
      </c>
    </row>
    <row r="517" spans="1:2" x14ac:dyDescent="0.25">
      <c r="A517" s="129" t="s">
        <v>580</v>
      </c>
      <c r="B517" s="130">
        <v>258.8</v>
      </c>
    </row>
    <row r="518" spans="1:2" x14ac:dyDescent="0.25">
      <c r="A518" s="129" t="s">
        <v>581</v>
      </c>
      <c r="B518" s="130">
        <v>260</v>
      </c>
    </row>
    <row r="519" spans="1:2" x14ac:dyDescent="0.25">
      <c r="A519" s="129" t="s">
        <v>582</v>
      </c>
      <c r="B519" s="130">
        <v>261.10000000000002</v>
      </c>
    </row>
    <row r="520" spans="1:2" x14ac:dyDescent="0.25">
      <c r="A520" s="129" t="s">
        <v>583</v>
      </c>
      <c r="B520" s="130">
        <v>261.39999999999998</v>
      </c>
    </row>
    <row r="521" spans="1:2" x14ac:dyDescent="0.25">
      <c r="A521" s="129" t="s">
        <v>584</v>
      </c>
      <c r="B521" s="130">
        <v>262.10000000000002</v>
      </c>
    </row>
    <row r="522" spans="1:2" x14ac:dyDescent="0.25">
      <c r="A522" s="129" t="s">
        <v>585</v>
      </c>
      <c r="B522" s="130">
        <v>263.10000000000002</v>
      </c>
    </row>
    <row r="523" spans="1:2" x14ac:dyDescent="0.25">
      <c r="A523" s="129" t="s">
        <v>586</v>
      </c>
      <c r="B523" s="130">
        <v>263.39999999999998</v>
      </c>
    </row>
    <row r="524" spans="1:2" x14ac:dyDescent="0.25">
      <c r="A524" s="129" t="s">
        <v>587</v>
      </c>
      <c r="B524" s="130">
        <v>264.39999999999998</v>
      </c>
    </row>
    <row r="525" spans="1:2" x14ac:dyDescent="0.25">
      <c r="A525" s="129" t="s">
        <v>588</v>
      </c>
      <c r="B525" s="130">
        <v>264.89999999999998</v>
      </c>
    </row>
    <row r="526" spans="1:2" x14ac:dyDescent="0.25">
      <c r="A526" s="129" t="s">
        <v>589</v>
      </c>
      <c r="B526" s="130">
        <v>264.8</v>
      </c>
    </row>
    <row r="527" spans="1:2" x14ac:dyDescent="0.25">
      <c r="A527" s="129" t="s">
        <v>590</v>
      </c>
      <c r="B527" s="130">
        <v>265.5</v>
      </c>
    </row>
    <row r="528" spans="1:2" x14ac:dyDescent="0.25">
      <c r="A528" s="129" t="s">
        <v>591</v>
      </c>
      <c r="B528" s="130">
        <v>267.10000000000002</v>
      </c>
    </row>
    <row r="529" spans="1:4" x14ac:dyDescent="0.25">
      <c r="A529" s="129" t="s">
        <v>592</v>
      </c>
      <c r="B529" s="130">
        <v>265.5</v>
      </c>
    </row>
    <row r="530" spans="1:4" x14ac:dyDescent="0.25">
      <c r="A530" s="129" t="s">
        <v>593</v>
      </c>
      <c r="B530" s="130">
        <v>268.39999999999998</v>
      </c>
    </row>
    <row r="531" spans="1:4" x14ac:dyDescent="0.25">
      <c r="A531" s="129" t="s">
        <v>594</v>
      </c>
      <c r="B531" s="130">
        <v>269.3</v>
      </c>
    </row>
    <row r="532" spans="1:4" x14ac:dyDescent="0.25">
      <c r="A532" s="129" t="s">
        <v>595</v>
      </c>
      <c r="B532" s="130">
        <v>270.60000000000002</v>
      </c>
    </row>
    <row r="533" spans="1:4" x14ac:dyDescent="0.25">
      <c r="A533" s="129" t="s">
        <v>596</v>
      </c>
      <c r="B533" s="130">
        <v>271.7</v>
      </c>
    </row>
    <row r="534" spans="1:4" x14ac:dyDescent="0.25">
      <c r="A534" s="129" t="s">
        <v>597</v>
      </c>
      <c r="B534" s="130">
        <v>272.3</v>
      </c>
    </row>
    <row r="535" spans="1:4" x14ac:dyDescent="0.25">
      <c r="A535" s="129" t="s">
        <v>598</v>
      </c>
      <c r="B535" s="130">
        <v>272.89999999999998</v>
      </c>
    </row>
    <row r="536" spans="1:4" x14ac:dyDescent="0.25">
      <c r="A536" s="129" t="s">
        <v>599</v>
      </c>
      <c r="B536" s="130">
        <v>274.7</v>
      </c>
    </row>
    <row r="537" spans="1:4" x14ac:dyDescent="0.25">
      <c r="A537" s="129" t="s">
        <v>600</v>
      </c>
      <c r="B537" s="130">
        <v>275.10000000000002</v>
      </c>
    </row>
    <row r="538" spans="1:4" x14ac:dyDescent="0.25">
      <c r="A538" s="129" t="s">
        <v>601</v>
      </c>
      <c r="B538" s="130">
        <v>275.3</v>
      </c>
    </row>
    <row r="539" spans="1:4" x14ac:dyDescent="0.25">
      <c r="A539" s="129" t="s">
        <v>602</v>
      </c>
      <c r="B539" s="130">
        <v>275.8</v>
      </c>
    </row>
    <row r="540" spans="1:4" x14ac:dyDescent="0.25">
      <c r="A540" s="129" t="s">
        <v>603</v>
      </c>
      <c r="B540" s="130">
        <v>278.10000000000002</v>
      </c>
    </row>
    <row r="541" spans="1:4" x14ac:dyDescent="0.25">
      <c r="A541" s="129" t="s">
        <v>604</v>
      </c>
      <c r="B541" s="130">
        <v>276</v>
      </c>
    </row>
    <row r="542" spans="1:4" x14ac:dyDescent="0.25">
      <c r="A542" s="129" t="s">
        <v>605</v>
      </c>
      <c r="B542" s="130">
        <v>278.10000000000002</v>
      </c>
    </row>
    <row r="543" spans="1:4" x14ac:dyDescent="0.25">
      <c r="A543" s="129" t="s">
        <v>606</v>
      </c>
      <c r="B543" s="130">
        <v>278.3</v>
      </c>
    </row>
    <row r="544" spans="1:4" x14ac:dyDescent="0.25">
      <c r="A544" s="129" t="s">
        <v>607</v>
      </c>
      <c r="B544" s="130">
        <v>279.7</v>
      </c>
      <c r="C544" s="131">
        <f>AVERAGE(B544:B555)</f>
        <v>283.46784452296816</v>
      </c>
      <c r="D544" t="s">
        <v>637</v>
      </c>
    </row>
    <row r="545" spans="1:4" x14ac:dyDescent="0.25">
      <c r="A545" s="129" t="s">
        <v>608</v>
      </c>
      <c r="B545" s="130">
        <v>280.7</v>
      </c>
    </row>
    <row r="546" spans="1:4" x14ac:dyDescent="0.25">
      <c r="A546" s="129" t="s">
        <v>609</v>
      </c>
      <c r="B546" s="130">
        <v>281.5</v>
      </c>
    </row>
    <row r="547" spans="1:4" x14ac:dyDescent="0.25">
      <c r="A547" s="129" t="s">
        <v>610</v>
      </c>
      <c r="B547" s="130">
        <v>281.7</v>
      </c>
    </row>
    <row r="548" spans="1:4" x14ac:dyDescent="0.25">
      <c r="A548" s="129" t="s">
        <v>611</v>
      </c>
      <c r="B548" s="130">
        <v>284.2</v>
      </c>
    </row>
    <row r="549" spans="1:4" x14ac:dyDescent="0.25">
      <c r="A549" s="129" t="s">
        <v>612</v>
      </c>
      <c r="B549" s="130">
        <v>284.10000000000002</v>
      </c>
    </row>
    <row r="550" spans="1:4" x14ac:dyDescent="0.25">
      <c r="A550" s="129" t="s">
        <v>613</v>
      </c>
      <c r="B550" s="130">
        <v>284.5</v>
      </c>
    </row>
    <row r="551" spans="1:4" x14ac:dyDescent="0.25">
      <c r="A551" s="129" t="s">
        <v>614</v>
      </c>
      <c r="B551" s="130">
        <v>284.60000000000002</v>
      </c>
    </row>
    <row r="552" spans="1:4" x14ac:dyDescent="0.25">
      <c r="A552" s="129" t="s">
        <v>615</v>
      </c>
      <c r="B552" s="130">
        <v>285.60000000000002</v>
      </c>
    </row>
    <row r="553" spans="1:4" x14ac:dyDescent="0.25">
      <c r="A553" s="145" t="s">
        <v>629</v>
      </c>
      <c r="B553" s="146">
        <v>283</v>
      </c>
    </row>
    <row r="554" spans="1:4" x14ac:dyDescent="0.25">
      <c r="A554" s="147" t="s">
        <v>635</v>
      </c>
      <c r="B554" s="148">
        <v>285</v>
      </c>
      <c r="C554">
        <f>B554/B553</f>
        <v>1.0070671378091873</v>
      </c>
      <c r="D554" t="s">
        <v>638</v>
      </c>
    </row>
    <row r="555" spans="1:4" x14ac:dyDescent="0.25">
      <c r="A555" s="132" t="s">
        <v>636</v>
      </c>
      <c r="B555" s="133">
        <f>B554*C554</f>
        <v>287.0141342756184</v>
      </c>
      <c r="D555" s="150" t="s">
        <v>639</v>
      </c>
    </row>
  </sheetData>
  <hyperlinks>
    <hyperlink ref="G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6"/>
  <sheetViews>
    <sheetView workbookViewId="0">
      <selection activeCell="G12" sqref="G12"/>
    </sheetView>
  </sheetViews>
  <sheetFormatPr defaultRowHeight="15" x14ac:dyDescent="0.25"/>
  <cols>
    <col min="3" max="4" width="19.85546875" customWidth="1"/>
    <col min="5" max="6" width="2.28515625" customWidth="1"/>
    <col min="7" max="7" width="12.42578125" customWidth="1"/>
  </cols>
  <sheetData>
    <row r="3" spans="2:7" ht="15.75" thickBot="1" x14ac:dyDescent="0.3">
      <c r="B3" s="144" t="s">
        <v>630</v>
      </c>
      <c r="C3" s="144"/>
    </row>
    <row r="4" spans="2:7" ht="30.75" thickBot="1" x14ac:dyDescent="0.3">
      <c r="C4" s="156" t="s">
        <v>634</v>
      </c>
      <c r="D4" s="157" t="s">
        <v>632</v>
      </c>
      <c r="E4" s="158"/>
      <c r="F4" s="159"/>
      <c r="G4" s="157" t="s">
        <v>642</v>
      </c>
    </row>
    <row r="5" spans="2:7" ht="15.75" thickBot="1" x14ac:dyDescent="0.3">
      <c r="B5" s="153" t="s">
        <v>631</v>
      </c>
      <c r="C5" s="151">
        <f>'RPI Table'!C304</f>
        <v>163.75833333333335</v>
      </c>
      <c r="D5" s="152">
        <f>'RPI Table'!C544</f>
        <v>283.46784452296816</v>
      </c>
      <c r="E5" s="154"/>
      <c r="F5" s="155"/>
      <c r="G5" s="152">
        <f>D5/C5</f>
        <v>1.7310132483210103</v>
      </c>
    </row>
    <row r="6" spans="2:7" x14ac:dyDescent="0.25">
      <c r="D6" s="139"/>
      <c r="E6" s="142"/>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NTS OWC Methodology</vt:lpstr>
      <vt:lpstr>RPI Table</vt:lpstr>
      <vt:lpstr>Inflation assumptions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Gudge, James</dc:creator>
  <cp:lastModifiedBy>National Grid</cp:lastModifiedBy>
  <dcterms:created xsi:type="dcterms:W3CDTF">2019-02-01T11:03:01Z</dcterms:created>
  <dcterms:modified xsi:type="dcterms:W3CDTF">2019-04-09T11:54:48Z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-2025363208</vt:i4>
  </property>
  <property fmtid="{D5CDD505-2E9C-101B-9397-08002B2CF9AE}" pid="3" name="_NewReviewCycle">
    <vt:lpwstr/>
  </property>
  <property fmtid="{D5CDD505-2E9C-101B-9397-08002B2CF9AE}" pid="4" name="_EmailSubject">
    <vt:lpwstr>EXT || RE: 678 Files for upload</vt:lpwstr>
  </property>
  <property fmtid="{D5CDD505-2E9C-101B-9397-08002B2CF9AE}" pid="5" name="_AuthorEmail">
    <vt:lpwstr>James.Gudge@nationalgrid.com</vt:lpwstr>
  </property>
  <property fmtid="{D5CDD505-2E9C-101B-9397-08002B2CF9AE}" pid="6" name="_AuthorEmailDisplayName">
    <vt:lpwstr>Gudge, James</vt:lpwstr>
  </property>
</Properties>
</file>